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Sellest_töövihikust" defaultThemeVersion="166925"/>
  <mc:AlternateContent xmlns:mc="http://schemas.openxmlformats.org/markup-compatibility/2006">
    <mc:Choice Requires="x15">
      <x15ac:absPath xmlns:x15ac="http://schemas.microsoft.com/office/spreadsheetml/2010/11/ac" url="https://delta.mkm.ee/dhs/webdav/b552434dc5b76bc9373552055453a5e8c5e230d8/37906272215/51151507-d937-470a-be3e-568187c4dbee/"/>
    </mc:Choice>
  </mc:AlternateContent>
  <xr:revisionPtr revIDLastSave="0" documentId="13_ncr:1_{49E70D6F-DBFB-46D0-9EF7-F16695EE91D6}" xr6:coauthVersionLast="47" xr6:coauthVersionMax="47" xr10:uidLastSave="{00000000-0000-0000-0000-000000000000}"/>
  <bookViews>
    <workbookView xWindow="-120" yWindow="-120" windowWidth="29040" windowHeight="15720" tabRatio="692" firstSheet="3" activeTab="3" xr2:uid="{00000000-000D-0000-FFFF-FFFF00000000}"/>
  </bookViews>
  <sheets>
    <sheet name="kuni 2025 detsember tegevuskava" sheetId="10" state="hidden" r:id="rId1"/>
    <sheet name="Seirearuanne" sheetId="24" state="hidden" r:id="rId2"/>
    <sheet name="KK_lisa" sheetId="22" state="hidden" r:id="rId3"/>
    <sheet name="Tegevuskava" sheetId="23" r:id="rId4"/>
    <sheet name="Ettekande arvutused" sheetId="26" state="hidden" r:id="rId5"/>
    <sheet name="Personal" sheetId="27" state="hidden" r:id="rId6"/>
  </sheets>
  <definedNames>
    <definedName name="_xlnm._FilterDatabase" localSheetId="0" hidden="1">'kuni 2025 detsember tegevuskava'!$A$33:$AR$95</definedName>
    <definedName name="_xlnm.Print_Area" localSheetId="3">Tegevuskava!$A$1:$P$114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P23" i="27" l="1"/>
  <c r="C8" i="26" l="1"/>
  <c r="C23" i="26"/>
  <c r="C22" i="26"/>
  <c r="AB37" i="10" l="1"/>
  <c r="C22" i="22" l="1"/>
  <c r="D22" i="22"/>
  <c r="E22" i="22"/>
  <c r="F22" i="22"/>
  <c r="G22" i="22"/>
  <c r="H22" i="22"/>
  <c r="I22" i="22"/>
  <c r="B22" i="22"/>
  <c r="B19" i="22"/>
  <c r="E35" i="23" l="1"/>
  <c r="Z39" i="24"/>
  <c r="Z38" i="24"/>
  <c r="W38" i="24"/>
  <c r="Z37" i="24"/>
  <c r="Z35" i="24"/>
  <c r="W35" i="24"/>
  <c r="AF106" i="10" l="1"/>
  <c r="AE106" i="10"/>
  <c r="AD106" i="10"/>
  <c r="AC106" i="10"/>
  <c r="AB106" i="10"/>
  <c r="AA106" i="10"/>
  <c r="Z106" i="10"/>
  <c r="Y106" i="10"/>
  <c r="X106" i="10"/>
  <c r="AF103" i="10"/>
  <c r="AE103" i="10"/>
  <c r="AD103" i="10"/>
  <c r="AC103" i="10"/>
  <c r="AB103" i="10"/>
  <c r="AA103" i="10"/>
  <c r="Z103" i="10"/>
  <c r="Y103" i="10"/>
  <c r="X103" i="10"/>
  <c r="AF100" i="10"/>
  <c r="AE100" i="10"/>
  <c r="AD100" i="10"/>
  <c r="AC100" i="10"/>
  <c r="AB100" i="10"/>
  <c r="AA100" i="10"/>
  <c r="Z100" i="10"/>
  <c r="Y100" i="10"/>
  <c r="X100" i="10"/>
  <c r="AF97" i="10"/>
  <c r="AE97" i="10"/>
  <c r="AD97" i="10"/>
  <c r="AC97" i="10"/>
  <c r="AB97" i="10"/>
  <c r="AA97" i="10"/>
  <c r="Z97" i="10"/>
  <c r="Y97" i="10"/>
  <c r="X97" i="10"/>
  <c r="E16" i="23" l="1" a="1"/>
  <c r="E16" i="23" s="1"/>
  <c r="D16" i="23" a="1"/>
  <c r="D16" i="23" s="1"/>
  <c r="F16" i="23" a="1"/>
  <c r="F16" i="23" s="1"/>
  <c r="S39" i="10"/>
  <c r="W35" i="10" l="1"/>
  <c r="U36" i="24"/>
  <c r="W94" i="10"/>
  <c r="W36" i="10"/>
  <c r="W37" i="10"/>
  <c r="W38" i="10"/>
  <c r="W39" i="10"/>
  <c r="W40" i="10"/>
  <c r="W41" i="10"/>
  <c r="W42" i="10"/>
  <c r="W43" i="10"/>
  <c r="W44" i="10"/>
  <c r="W45" i="10"/>
  <c r="W46" i="10"/>
  <c r="W47" i="10"/>
  <c r="W48" i="10"/>
  <c r="W49" i="10"/>
  <c r="W50" i="10"/>
  <c r="W51" i="10"/>
  <c r="W52" i="10"/>
  <c r="W53" i="10"/>
  <c r="W54" i="10"/>
  <c r="W55" i="10"/>
  <c r="W56" i="10"/>
  <c r="W57" i="10"/>
  <c r="W58" i="10"/>
  <c r="W59" i="10"/>
  <c r="W60" i="10"/>
  <c r="W61" i="10"/>
  <c r="W62" i="10"/>
  <c r="W63" i="10"/>
  <c r="W64" i="10"/>
  <c r="W65" i="10"/>
  <c r="W66" i="10"/>
  <c r="W67" i="10"/>
  <c r="W68" i="10"/>
  <c r="W69" i="10"/>
  <c r="W70" i="10"/>
  <c r="W71" i="10"/>
  <c r="W72" i="10"/>
  <c r="W73" i="10"/>
  <c r="W74" i="10"/>
  <c r="W75" i="10"/>
  <c r="W76" i="10"/>
  <c r="W77" i="10"/>
  <c r="W78" i="10"/>
  <c r="W79" i="10"/>
  <c r="W80" i="10"/>
  <c r="W81" i="10"/>
  <c r="W82" i="10"/>
  <c r="W83" i="10"/>
  <c r="W84" i="10"/>
  <c r="W85" i="10"/>
  <c r="W86" i="10"/>
  <c r="W87" i="10"/>
  <c r="W88" i="10"/>
  <c r="W89" i="10"/>
  <c r="W90" i="10"/>
  <c r="W91" i="10"/>
  <c r="W92" i="10"/>
  <c r="W93" i="10"/>
  <c r="I54" i="26"/>
  <c r="H54" i="26"/>
  <c r="G54" i="26"/>
  <c r="F54" i="26"/>
  <c r="E54" i="26"/>
  <c r="D54" i="26"/>
  <c r="C42" i="26"/>
  <c r="E21" i="26"/>
  <c r="E22" i="26"/>
  <c r="E23" i="26"/>
  <c r="E8" i="26"/>
  <c r="E9" i="26"/>
  <c r="E7" i="26"/>
  <c r="H82" i="26"/>
  <c r="E82" i="26"/>
  <c r="F9" i="26"/>
  <c r="F8" i="26"/>
  <c r="F7" i="26"/>
  <c r="F21" i="26"/>
  <c r="F23" i="26"/>
  <c r="F22" i="26"/>
  <c r="D9" i="24"/>
  <c r="R35" i="24"/>
  <c r="S35" i="24"/>
  <c r="T35" i="24"/>
  <c r="U35" i="24"/>
  <c r="R36" i="24"/>
  <c r="S36" i="24"/>
  <c r="T36" i="24"/>
  <c r="R37" i="24"/>
  <c r="S37" i="24"/>
  <c r="T37" i="24"/>
  <c r="U37" i="24"/>
  <c r="U38" i="24"/>
  <c r="R39" i="24"/>
  <c r="S39" i="24"/>
  <c r="U39" i="24"/>
  <c r="R40" i="24"/>
  <c r="S40" i="24"/>
  <c r="T40" i="24"/>
  <c r="U40" i="24"/>
  <c r="R41" i="24"/>
  <c r="S41" i="24"/>
  <c r="T41" i="24"/>
  <c r="U41" i="24"/>
  <c r="R42" i="24"/>
  <c r="S42" i="24"/>
  <c r="T42" i="24"/>
  <c r="U42" i="24"/>
  <c r="R44" i="24"/>
  <c r="S44" i="24"/>
  <c r="T44" i="24"/>
  <c r="R46" i="24"/>
  <c r="S46" i="24"/>
  <c r="T46" i="24"/>
  <c r="U46" i="24"/>
  <c r="R47" i="24"/>
  <c r="S47" i="24"/>
  <c r="T47" i="24"/>
  <c r="U47" i="24"/>
  <c r="R49" i="24"/>
  <c r="S49" i="24"/>
  <c r="T49" i="24"/>
  <c r="U49" i="24"/>
  <c r="R51" i="24"/>
  <c r="S51" i="24"/>
  <c r="T51" i="24"/>
  <c r="R52" i="24"/>
  <c r="S52" i="24"/>
  <c r="T52" i="24"/>
  <c r="U52" i="24"/>
  <c r="R53" i="24"/>
  <c r="S53" i="24"/>
  <c r="T53" i="24"/>
  <c r="U53" i="24"/>
  <c r="R55" i="24"/>
  <c r="S55" i="24"/>
  <c r="T55" i="24"/>
  <c r="R56" i="24"/>
  <c r="S56" i="24"/>
  <c r="T56" i="24"/>
  <c r="U56" i="24"/>
  <c r="R58" i="24"/>
  <c r="S58" i="24"/>
  <c r="T58" i="24"/>
  <c r="U58" i="24"/>
  <c r="R63" i="24"/>
  <c r="S63" i="24"/>
  <c r="T63" i="24"/>
  <c r="U63" i="24"/>
  <c r="R64" i="24"/>
  <c r="S64" i="24"/>
  <c r="T64" i="24"/>
  <c r="U64" i="24"/>
  <c r="R65" i="24"/>
  <c r="D8" i="24" s="1"/>
  <c r="S65" i="24"/>
  <c r="T65" i="24"/>
  <c r="U65" i="24"/>
  <c r="R66" i="24"/>
  <c r="S66" i="24"/>
  <c r="T66" i="24"/>
  <c r="U66" i="24"/>
  <c r="R67" i="24"/>
  <c r="S67" i="24"/>
  <c r="T67" i="24"/>
  <c r="U67" i="24"/>
  <c r="R68" i="24"/>
  <c r="S68" i="24"/>
  <c r="T68" i="24"/>
  <c r="U68" i="24"/>
  <c r="R69" i="24"/>
  <c r="S69" i="24"/>
  <c r="T69" i="24"/>
  <c r="U69" i="24"/>
  <c r="R72" i="24"/>
  <c r="S72" i="24"/>
  <c r="T72" i="24"/>
  <c r="U72" i="24"/>
  <c r="R73" i="24"/>
  <c r="S73" i="24"/>
  <c r="T73" i="24"/>
  <c r="U73" i="24"/>
  <c r="R74" i="24"/>
  <c r="S74" i="24"/>
  <c r="T74" i="24"/>
  <c r="U74" i="24"/>
  <c r="R75" i="24"/>
  <c r="S75" i="24"/>
  <c r="T75" i="24"/>
  <c r="U75" i="24"/>
  <c r="R76" i="24"/>
  <c r="S76" i="24"/>
  <c r="T76" i="24"/>
  <c r="U76" i="24"/>
  <c r="R77" i="24"/>
  <c r="S77" i="24"/>
  <c r="T77" i="24"/>
  <c r="U77" i="24"/>
  <c r="R78" i="24"/>
  <c r="S78" i="24"/>
  <c r="T78" i="24"/>
  <c r="U78" i="24"/>
  <c r="R79" i="24"/>
  <c r="S79" i="24"/>
  <c r="T79" i="24"/>
  <c r="U79" i="24"/>
  <c r="R80" i="24"/>
  <c r="S80" i="24"/>
  <c r="T80" i="24"/>
  <c r="U80" i="24"/>
  <c r="R81" i="24"/>
  <c r="S81" i="24"/>
  <c r="T81" i="24"/>
  <c r="U81" i="24"/>
  <c r="R82" i="24"/>
  <c r="S82" i="24"/>
  <c r="T82" i="24"/>
  <c r="U82" i="24"/>
  <c r="R83" i="24"/>
  <c r="S83" i="24"/>
  <c r="T83" i="24"/>
  <c r="U83" i="24"/>
  <c r="R84" i="24"/>
  <c r="S84" i="24"/>
  <c r="T84" i="24"/>
  <c r="U84" i="24"/>
  <c r="R85" i="24"/>
  <c r="S85" i="24"/>
  <c r="T85" i="24"/>
  <c r="U85" i="24"/>
  <c r="R86" i="24"/>
  <c r="S86" i="24"/>
  <c r="T86" i="24"/>
  <c r="U86" i="24"/>
  <c r="R87" i="24"/>
  <c r="S87" i="24"/>
  <c r="T87" i="24"/>
  <c r="U87" i="24"/>
  <c r="R88" i="24"/>
  <c r="S88" i="24"/>
  <c r="T88" i="24"/>
  <c r="U88" i="24"/>
  <c r="R89" i="24"/>
  <c r="S89" i="24"/>
  <c r="T89" i="24"/>
  <c r="U89" i="24"/>
  <c r="R90" i="24"/>
  <c r="S90" i="24"/>
  <c r="T90" i="24"/>
  <c r="U90" i="24"/>
  <c r="R91" i="24"/>
  <c r="S91" i="24"/>
  <c r="T91" i="24"/>
  <c r="U91" i="24"/>
  <c r="R92" i="24"/>
  <c r="S92" i="24"/>
  <c r="T92" i="24"/>
  <c r="U92" i="24"/>
  <c r="R93" i="24"/>
  <c r="S93" i="24"/>
  <c r="T93" i="24"/>
  <c r="U93" i="24"/>
  <c r="R94" i="24"/>
  <c r="S94" i="24"/>
  <c r="T94" i="24"/>
  <c r="U94" i="24"/>
  <c r="R38" i="24"/>
  <c r="S38" i="24"/>
  <c r="T38" i="24"/>
  <c r="T39" i="24"/>
  <c r="R43" i="24"/>
  <c r="S43" i="24"/>
  <c r="T43" i="24"/>
  <c r="U43" i="24"/>
  <c r="U44" i="24"/>
  <c r="R45" i="24"/>
  <c r="S45" i="24"/>
  <c r="T45" i="24"/>
  <c r="U45" i="24"/>
  <c r="R48" i="24"/>
  <c r="S48" i="24"/>
  <c r="T48" i="24"/>
  <c r="U48" i="24"/>
  <c r="R50" i="24"/>
  <c r="S50" i="24"/>
  <c r="T50" i="24"/>
  <c r="U50" i="24"/>
  <c r="U51" i="24"/>
  <c r="R54" i="24"/>
  <c r="S54" i="24"/>
  <c r="T54" i="24"/>
  <c r="U54" i="24"/>
  <c r="U55" i="24"/>
  <c r="R57" i="24"/>
  <c r="S57" i="24"/>
  <c r="T57" i="24"/>
  <c r="U57" i="24"/>
  <c r="R59" i="24"/>
  <c r="S59" i="24"/>
  <c r="T59" i="24"/>
  <c r="U59" i="24"/>
  <c r="R60" i="24"/>
  <c r="S60" i="24"/>
  <c r="T60" i="24"/>
  <c r="U60" i="24"/>
  <c r="R61" i="24"/>
  <c r="S61" i="24"/>
  <c r="T61" i="24"/>
  <c r="U61" i="24"/>
  <c r="R62" i="24"/>
  <c r="S62" i="24"/>
  <c r="T62" i="24"/>
  <c r="U62" i="24"/>
  <c r="R70" i="24"/>
  <c r="S70" i="24"/>
  <c r="T70" i="24"/>
  <c r="U70" i="24"/>
  <c r="R71" i="24"/>
  <c r="S71" i="24"/>
  <c r="T71" i="24"/>
  <c r="U71" i="24"/>
  <c r="B11" i="24"/>
  <c r="D7" i="24" l="1"/>
  <c r="D10" i="24"/>
  <c r="D14" i="24"/>
  <c r="D13" i="24"/>
  <c r="D6" i="24"/>
  <c r="F71" i="26"/>
  <c r="G71" i="26"/>
  <c r="C71" i="26"/>
  <c r="H83" i="26"/>
  <c r="H81" i="26"/>
  <c r="H80" i="26"/>
  <c r="H79" i="26"/>
  <c r="H78" i="26"/>
  <c r="H77" i="26"/>
  <c r="H76" i="26"/>
  <c r="H75" i="26"/>
  <c r="H74" i="26"/>
  <c r="H73" i="26"/>
  <c r="H72" i="26"/>
  <c r="E72" i="26"/>
  <c r="E73" i="26"/>
  <c r="E74" i="26"/>
  <c r="E75" i="26"/>
  <c r="E76" i="26"/>
  <c r="E77" i="26"/>
  <c r="E78" i="26"/>
  <c r="E79" i="26"/>
  <c r="E80" i="26"/>
  <c r="E81" i="26"/>
  <c r="E83" i="26"/>
  <c r="G35" i="23" a="1"/>
  <c r="G35" i="23" s="1"/>
  <c r="K91" i="23"/>
  <c r="O104" i="23"/>
  <c r="O103" i="23"/>
  <c r="M104" i="23"/>
  <c r="M103" i="23"/>
  <c r="K104" i="23"/>
  <c r="K103" i="23"/>
  <c r="O97" i="23"/>
  <c r="O96" i="23"/>
  <c r="M97" i="23"/>
  <c r="M96" i="23"/>
  <c r="K96" i="23"/>
  <c r="K97" i="23"/>
  <c r="O91" i="23"/>
  <c r="M91" i="23"/>
  <c r="O84" i="23"/>
  <c r="O83" i="23"/>
  <c r="O82" i="23"/>
  <c r="M84" i="23"/>
  <c r="M83" i="23"/>
  <c r="M82" i="23"/>
  <c r="K84" i="23"/>
  <c r="K83" i="23"/>
  <c r="K82" i="23"/>
  <c r="O76" i="23"/>
  <c r="O75" i="23"/>
  <c r="M76" i="23"/>
  <c r="M75" i="23"/>
  <c r="K76" i="23"/>
  <c r="K75" i="23"/>
  <c r="O70" i="23"/>
  <c r="M70" i="23"/>
  <c r="K70" i="23"/>
  <c r="O64" i="23"/>
  <c r="O63" i="23"/>
  <c r="M64" i="23"/>
  <c r="M63" i="23"/>
  <c r="K64" i="23"/>
  <c r="K63" i="23"/>
  <c r="X127" i="10"/>
  <c r="Y136" i="10"/>
  <c r="Z136" i="10"/>
  <c r="AA136" i="10"/>
  <c r="AB136" i="10"/>
  <c r="AC136" i="10"/>
  <c r="AD136" i="10"/>
  <c r="AE136" i="10"/>
  <c r="AF136" i="10"/>
  <c r="Y133" i="10"/>
  <c r="Z133" i="10"/>
  <c r="AA133" i="10"/>
  <c r="AB133" i="10"/>
  <c r="AC133" i="10"/>
  <c r="AD133" i="10"/>
  <c r="AE133" i="10"/>
  <c r="AF133" i="10"/>
  <c r="Y130" i="10"/>
  <c r="Z130" i="10"/>
  <c r="AA130" i="10"/>
  <c r="AB130" i="10"/>
  <c r="AC130" i="10"/>
  <c r="AD130" i="10"/>
  <c r="AE130" i="10"/>
  <c r="AF130" i="10"/>
  <c r="X136" i="10"/>
  <c r="X133" i="10"/>
  <c r="X130" i="10"/>
  <c r="Y127" i="10"/>
  <c r="Z127" i="10"/>
  <c r="AA127" i="10"/>
  <c r="AB127" i="10"/>
  <c r="AC127" i="10"/>
  <c r="AD127" i="10"/>
  <c r="AE127" i="10"/>
  <c r="AF127" i="10"/>
  <c r="Y121" i="10"/>
  <c r="Z121" i="10"/>
  <c r="AA121" i="10"/>
  <c r="AB121" i="10"/>
  <c r="AC121" i="10"/>
  <c r="AD121" i="10"/>
  <c r="AE121" i="10"/>
  <c r="AF121" i="10"/>
  <c r="X121" i="10"/>
  <c r="Y118" i="10"/>
  <c r="Z118" i="10"/>
  <c r="AA118" i="10"/>
  <c r="AB118" i="10"/>
  <c r="AC118" i="10"/>
  <c r="AD118" i="10"/>
  <c r="AE118" i="10"/>
  <c r="AF118" i="10"/>
  <c r="X118" i="10"/>
  <c r="Y115" i="10"/>
  <c r="Z115" i="10"/>
  <c r="AA115" i="10"/>
  <c r="AB115" i="10"/>
  <c r="AC115" i="10"/>
  <c r="AD115" i="10"/>
  <c r="AE115" i="10"/>
  <c r="AF115" i="10"/>
  <c r="X115" i="10"/>
  <c r="Y112" i="10"/>
  <c r="Z112" i="10"/>
  <c r="AA112" i="10"/>
  <c r="AB112" i="10"/>
  <c r="AC112" i="10"/>
  <c r="AD112" i="10"/>
  <c r="AE112" i="10"/>
  <c r="AF112" i="10"/>
  <c r="X112" i="10"/>
  <c r="E15" i="23" l="1" a="1"/>
  <c r="E15" i="23" s="1"/>
  <c r="F15" i="23" a="1"/>
  <c r="F15" i="23" s="1"/>
  <c r="E17" i="23" a="1"/>
  <c r="E17" i="23" s="1"/>
  <c r="D17" i="23" a="1"/>
  <c r="D17" i="23" s="1"/>
  <c r="D15" i="23" a="1"/>
  <c r="D15" i="23" s="1"/>
  <c r="F17" i="23" a="1"/>
  <c r="F17" i="23" s="1"/>
  <c r="H71" i="26"/>
  <c r="D71" i="26"/>
  <c r="E71" i="26"/>
  <c r="Z116" i="10" l="1"/>
  <c r="Y116" i="10"/>
  <c r="X116" i="10"/>
  <c r="AF113" i="10"/>
  <c r="AD113" i="10"/>
  <c r="AB113" i="10"/>
  <c r="Z113" i="10"/>
  <c r="X113" i="10"/>
  <c r="AF137" i="10"/>
  <c r="AE137" i="10"/>
  <c r="AD137" i="10"/>
  <c r="AC137" i="10"/>
  <c r="AB137" i="10"/>
  <c r="AA137" i="10"/>
  <c r="Z137" i="10"/>
  <c r="Y137" i="10"/>
  <c r="X137" i="10"/>
  <c r="AF134" i="10"/>
  <c r="AE134" i="10"/>
  <c r="AD134" i="10"/>
  <c r="AC134" i="10"/>
  <c r="AB134" i="10"/>
  <c r="AA134" i="10"/>
  <c r="Z134" i="10"/>
  <c r="Y134" i="10"/>
  <c r="X134" i="10"/>
  <c r="AF131" i="10"/>
  <c r="AF122" i="10"/>
  <c r="AE131" i="10"/>
  <c r="AE122" i="10"/>
  <c r="AD122" i="10"/>
  <c r="AC122" i="10"/>
  <c r="AD131" i="10"/>
  <c r="AB122" i="10"/>
  <c r="AC131" i="10"/>
  <c r="AA122" i="10"/>
  <c r="Z122" i="10"/>
  <c r="AB131" i="10"/>
  <c r="Y122" i="10"/>
  <c r="X122" i="10"/>
  <c r="AA131" i="10"/>
  <c r="Z131" i="10"/>
  <c r="Y131" i="10"/>
  <c r="AF119" i="10"/>
  <c r="AE119" i="10"/>
  <c r="AD119" i="10"/>
  <c r="X131" i="10"/>
  <c r="AC119" i="10"/>
  <c r="AB119" i="10"/>
  <c r="AA119" i="10"/>
  <c r="Z119" i="10"/>
  <c r="Y119" i="10"/>
  <c r="X119" i="10"/>
  <c r="AF116" i="10"/>
  <c r="AF128" i="10"/>
  <c r="AE128" i="10"/>
  <c r="AD128" i="10"/>
  <c r="AC128" i="10"/>
  <c r="AB128" i="10"/>
  <c r="Z128" i="10"/>
  <c r="Y128" i="10"/>
  <c r="AE116" i="10"/>
  <c r="AD116" i="10"/>
  <c r="AC116" i="10"/>
  <c r="AB116" i="10"/>
  <c r="AA116" i="10"/>
  <c r="Y94" i="10"/>
  <c r="Z94" i="10"/>
  <c r="AA94" i="10"/>
  <c r="AB94" i="10"/>
  <c r="AC94" i="10"/>
  <c r="AD94" i="10"/>
  <c r="AE94" i="10"/>
  <c r="AF94" i="10"/>
  <c r="X94" i="10"/>
  <c r="AB95" i="10" l="1"/>
  <c r="AD95" i="10"/>
  <c r="AE95" i="10"/>
  <c r="AF95" i="10"/>
  <c r="AA95" i="10"/>
  <c r="AC95" i="10"/>
  <c r="AC113" i="10"/>
  <c r="AA113" i="10"/>
  <c r="Y113" i="10"/>
  <c r="X128" i="10"/>
  <c r="AA128" i="10"/>
  <c r="AE113" i="10"/>
  <c r="AF98" i="10" l="1"/>
  <c r="AD98" i="10"/>
  <c r="AB98" i="10"/>
  <c r="AC98" i="10"/>
  <c r="AE98" i="10"/>
  <c r="Z107" i="10"/>
  <c r="Y107" i="10"/>
  <c r="X107" i="10"/>
  <c r="Z104" i="10"/>
  <c r="Y104" i="10"/>
  <c r="X104" i="10"/>
  <c r="AA98" i="10"/>
  <c r="AF107" i="10"/>
  <c r="AE107" i="10"/>
  <c r="AD107" i="10"/>
  <c r="AC107" i="10"/>
  <c r="AB107" i="10"/>
  <c r="AA107" i="10"/>
  <c r="AF104" i="10"/>
  <c r="AE104" i="10"/>
  <c r="AD104" i="10"/>
  <c r="AC104" i="10"/>
  <c r="AB104" i="10"/>
  <c r="AA104" i="10"/>
  <c r="AF101" i="10"/>
  <c r="AE101" i="10"/>
  <c r="AD101" i="10"/>
  <c r="AC101" i="10"/>
  <c r="AB101" i="10"/>
  <c r="AA101" i="10"/>
  <c r="E23" i="23" l="1"/>
  <c r="D5" i="22" s="1"/>
  <c r="F24" i="23"/>
  <c r="E6" i="22" s="1"/>
  <c r="D25" i="23"/>
  <c r="C7" i="22" s="1"/>
  <c r="E25" i="23"/>
  <c r="D7" i="22" s="1"/>
  <c r="F25" i="23"/>
  <c r="E7" i="22" s="1"/>
  <c r="E24" i="23"/>
  <c r="D6" i="22" s="1"/>
  <c r="E26" i="23"/>
  <c r="D8" i="22" s="1"/>
  <c r="Z101" i="10"/>
  <c r="Z95" i="10"/>
  <c r="F26" i="23"/>
  <c r="E8" i="22" s="1"/>
  <c r="Y101" i="10"/>
  <c r="K107" i="23" s="1"/>
  <c r="Y95" i="10"/>
  <c r="D26" i="23"/>
  <c r="C8" i="22" s="1"/>
  <c r="X101" i="10"/>
  <c r="X95" i="10"/>
  <c r="F23" i="23"/>
  <c r="E5" i="22" s="1"/>
  <c r="C6" i="26"/>
  <c r="C36" i="26"/>
  <c r="D20" i="26"/>
  <c r="E20" i="26"/>
  <c r="C20" i="26"/>
  <c r="D6" i="26"/>
  <c r="F6" i="26" s="1"/>
  <c r="E6" i="26"/>
  <c r="Z98" i="10"/>
  <c r="Y98" i="10"/>
  <c r="X98" i="10"/>
  <c r="J103" i="23"/>
  <c r="L103" i="23"/>
  <c r="M107" i="23"/>
  <c r="N103" i="23"/>
  <c r="O107" i="23"/>
  <c r="P103" i="23"/>
  <c r="J104" i="23"/>
  <c r="K108" i="23"/>
  <c r="L104" i="23"/>
  <c r="N104" i="23"/>
  <c r="O108" i="23"/>
  <c r="P104" i="23"/>
  <c r="J107" i="23"/>
  <c r="L107" i="23"/>
  <c r="N107" i="23"/>
  <c r="P107" i="23"/>
  <c r="J108" i="23"/>
  <c r="L108" i="23"/>
  <c r="N108" i="23"/>
  <c r="P108" i="23"/>
  <c r="J96" i="23"/>
  <c r="L96" i="23"/>
  <c r="M100" i="23"/>
  <c r="N96" i="23"/>
  <c r="O100" i="23"/>
  <c r="P96" i="23"/>
  <c r="J97" i="23"/>
  <c r="K101" i="23"/>
  <c r="L97" i="23"/>
  <c r="M101" i="23"/>
  <c r="N97" i="23"/>
  <c r="O101" i="23"/>
  <c r="P97" i="23"/>
  <c r="J100" i="23"/>
  <c r="L100" i="23"/>
  <c r="N100" i="23"/>
  <c r="P100" i="23"/>
  <c r="J101" i="23"/>
  <c r="L101" i="23"/>
  <c r="N101" i="23"/>
  <c r="P101" i="23"/>
  <c r="J91" i="23"/>
  <c r="L91" i="23"/>
  <c r="M94" i="23"/>
  <c r="N91" i="23"/>
  <c r="O94" i="23"/>
  <c r="P91" i="23"/>
  <c r="J94" i="23"/>
  <c r="L94" i="23"/>
  <c r="N94" i="23"/>
  <c r="P94" i="23"/>
  <c r="J82" i="23"/>
  <c r="K87" i="23"/>
  <c r="L82" i="23"/>
  <c r="M87" i="23"/>
  <c r="N82" i="23"/>
  <c r="O87" i="23"/>
  <c r="P82" i="23"/>
  <c r="J83" i="23"/>
  <c r="K88" i="23"/>
  <c r="L83" i="23"/>
  <c r="M88" i="23"/>
  <c r="N83" i="23"/>
  <c r="O88" i="23"/>
  <c r="P83" i="23"/>
  <c r="J84" i="23"/>
  <c r="K89" i="23"/>
  <c r="L84" i="23"/>
  <c r="M89" i="23"/>
  <c r="N84" i="23"/>
  <c r="O89" i="23"/>
  <c r="P84" i="23"/>
  <c r="J87" i="23"/>
  <c r="L87" i="23"/>
  <c r="N87" i="23"/>
  <c r="P87" i="23"/>
  <c r="J88" i="23"/>
  <c r="L88" i="23"/>
  <c r="N88" i="23"/>
  <c r="P88" i="23"/>
  <c r="J89" i="23"/>
  <c r="L89" i="23"/>
  <c r="N89" i="23"/>
  <c r="P89" i="23"/>
  <c r="J75" i="23"/>
  <c r="L75" i="23"/>
  <c r="M79" i="23"/>
  <c r="N75" i="23"/>
  <c r="O79" i="23"/>
  <c r="P75" i="23"/>
  <c r="J76" i="23"/>
  <c r="K80" i="23"/>
  <c r="L76" i="23"/>
  <c r="M80" i="23"/>
  <c r="N76" i="23"/>
  <c r="O80" i="23"/>
  <c r="P76" i="23"/>
  <c r="J79" i="23"/>
  <c r="L79" i="23"/>
  <c r="N79" i="23"/>
  <c r="P79" i="23"/>
  <c r="J80" i="23"/>
  <c r="L80" i="23"/>
  <c r="N80" i="23"/>
  <c r="P80" i="23"/>
  <c r="J70" i="23"/>
  <c r="L70" i="23"/>
  <c r="M73" i="23"/>
  <c r="N70" i="23"/>
  <c r="O73" i="23"/>
  <c r="P70" i="23"/>
  <c r="J73" i="23"/>
  <c r="L73" i="23"/>
  <c r="N73" i="23"/>
  <c r="P73" i="23"/>
  <c r="J63" i="23"/>
  <c r="L63" i="23"/>
  <c r="M67" i="23"/>
  <c r="N63" i="23"/>
  <c r="O67" i="23"/>
  <c r="P63" i="23"/>
  <c r="J64" i="23"/>
  <c r="L64" i="23"/>
  <c r="M68" i="23"/>
  <c r="N64" i="23"/>
  <c r="P64" i="23"/>
  <c r="J67" i="23"/>
  <c r="L67" i="23"/>
  <c r="N67" i="23"/>
  <c r="P67" i="23"/>
  <c r="J68" i="23"/>
  <c r="L68" i="23"/>
  <c r="N68" i="23"/>
  <c r="P68" i="23"/>
  <c r="E14" i="23"/>
  <c r="F14" i="23"/>
  <c r="C15" i="23"/>
  <c r="C17" i="23"/>
  <c r="D9" i="22" l="1"/>
  <c r="B8" i="22"/>
  <c r="F20" i="26"/>
  <c r="E9" i="22"/>
  <c r="B7" i="22"/>
  <c r="C25" i="23"/>
  <c r="D24" i="23"/>
  <c r="K106" i="23"/>
  <c r="E22" i="23"/>
  <c r="C26" i="23"/>
  <c r="F22" i="23"/>
  <c r="D23" i="23"/>
  <c r="C5" i="22" s="1"/>
  <c r="I104" i="23"/>
  <c r="I103" i="23"/>
  <c r="O102" i="23"/>
  <c r="O106" i="23"/>
  <c r="I107" i="23"/>
  <c r="M102" i="23"/>
  <c r="M108" i="23"/>
  <c r="I108" i="23" s="1"/>
  <c r="I96" i="23"/>
  <c r="K95" i="23"/>
  <c r="O99" i="23"/>
  <c r="I101" i="23"/>
  <c r="M99" i="23"/>
  <c r="I97" i="23"/>
  <c r="K100" i="23"/>
  <c r="I100" i="23" s="1"/>
  <c r="M95" i="23"/>
  <c r="O95" i="23"/>
  <c r="K90" i="23"/>
  <c r="K86" i="23"/>
  <c r="I91" i="23"/>
  <c r="O93" i="23"/>
  <c r="M93" i="23"/>
  <c r="O90" i="23"/>
  <c r="K94" i="23"/>
  <c r="I94" i="23" s="1"/>
  <c r="M90" i="23"/>
  <c r="O86" i="23"/>
  <c r="I88" i="23"/>
  <c r="I83" i="23"/>
  <c r="M86" i="23"/>
  <c r="I89" i="23"/>
  <c r="K81" i="23"/>
  <c r="I84" i="23"/>
  <c r="O81" i="23"/>
  <c r="M81" i="23"/>
  <c r="I82" i="23"/>
  <c r="I87" i="23"/>
  <c r="O78" i="23"/>
  <c r="I80" i="23"/>
  <c r="M78" i="23"/>
  <c r="I76" i="23"/>
  <c r="O74" i="23"/>
  <c r="M74" i="23"/>
  <c r="K62" i="23"/>
  <c r="O72" i="23"/>
  <c r="M62" i="23"/>
  <c r="M72" i="23"/>
  <c r="I63" i="23"/>
  <c r="O62" i="23"/>
  <c r="K67" i="23"/>
  <c r="I67" i="23" s="1"/>
  <c r="O69" i="23"/>
  <c r="M69" i="23"/>
  <c r="O68" i="23"/>
  <c r="O66" i="23" s="1"/>
  <c r="I64" i="23"/>
  <c r="K68" i="23"/>
  <c r="M66" i="23"/>
  <c r="D14" i="23" l="1"/>
  <c r="C14" i="23" s="1"/>
  <c r="C16" i="23"/>
  <c r="B5" i="22"/>
  <c r="C24" i="23"/>
  <c r="C6" i="22"/>
  <c r="B6" i="22" s="1"/>
  <c r="I102" i="23"/>
  <c r="I95" i="23"/>
  <c r="D22" i="23"/>
  <c r="C22" i="23" s="1"/>
  <c r="K102" i="23"/>
  <c r="I106" i="23"/>
  <c r="C23" i="23"/>
  <c r="I99" i="23"/>
  <c r="I81" i="23"/>
  <c r="I68" i="23"/>
  <c r="I66" i="23" s="1"/>
  <c r="I90" i="23"/>
  <c r="M106" i="23"/>
  <c r="I93" i="23"/>
  <c r="K99" i="23"/>
  <c r="I86" i="23"/>
  <c r="K93" i="23"/>
  <c r="K66" i="23"/>
  <c r="I62" i="23"/>
  <c r="C9" i="22" l="1"/>
  <c r="B9" i="22"/>
  <c r="Q94" i="24"/>
  <c r="P94" i="24" s="1"/>
  <c r="Q93" i="24"/>
  <c r="P93" i="24" s="1"/>
  <c r="Q92" i="24"/>
  <c r="P92" i="24" s="1"/>
  <c r="Q91" i="24"/>
  <c r="P91" i="24" s="1"/>
  <c r="Q90" i="24"/>
  <c r="P90" i="24" s="1"/>
  <c r="Q89" i="24"/>
  <c r="P89" i="24" s="1"/>
  <c r="Q88" i="24"/>
  <c r="P88" i="24" s="1"/>
  <c r="Q87" i="24"/>
  <c r="P87" i="24" s="1"/>
  <c r="Q86" i="24"/>
  <c r="P86" i="24" s="1"/>
  <c r="Q85" i="24"/>
  <c r="P85" i="24" s="1"/>
  <c r="Q84" i="24"/>
  <c r="P84" i="24" s="1"/>
  <c r="Q83" i="24"/>
  <c r="P83" i="24" s="1"/>
  <c r="Q82" i="24"/>
  <c r="P82" i="24" s="1"/>
  <c r="Q81" i="24"/>
  <c r="P81" i="24" s="1"/>
  <c r="Q80" i="24"/>
  <c r="P80" i="24" s="1"/>
  <c r="Q79" i="24"/>
  <c r="P79" i="24" s="1"/>
  <c r="Q78" i="24"/>
  <c r="P78" i="24" s="1"/>
  <c r="Q77" i="24"/>
  <c r="P77" i="24" s="1"/>
  <c r="Q76" i="24"/>
  <c r="P76" i="24" s="1"/>
  <c r="Q75" i="24"/>
  <c r="P75" i="24" s="1"/>
  <c r="Q74" i="24"/>
  <c r="P74" i="24" s="1"/>
  <c r="Q73" i="24"/>
  <c r="P73" i="24" s="1"/>
  <c r="Q72" i="24"/>
  <c r="P72" i="24" s="1"/>
  <c r="Q71" i="24"/>
  <c r="P71" i="24" s="1"/>
  <c r="Q70" i="24"/>
  <c r="P70" i="24" s="1"/>
  <c r="Q69" i="24"/>
  <c r="P69" i="24" s="1"/>
  <c r="Q68" i="24"/>
  <c r="P68" i="24" s="1"/>
  <c r="Q67" i="24"/>
  <c r="P67" i="24" s="1"/>
  <c r="Q66" i="24"/>
  <c r="P66" i="24" s="1"/>
  <c r="Q65" i="24"/>
  <c r="Q64" i="24"/>
  <c r="P64" i="24" s="1"/>
  <c r="Q63" i="24"/>
  <c r="P63" i="24" s="1"/>
  <c r="Q62" i="24"/>
  <c r="P62" i="24" s="1"/>
  <c r="Q61" i="24"/>
  <c r="P61" i="24" s="1"/>
  <c r="Q60" i="24"/>
  <c r="P60" i="24" s="1"/>
  <c r="Q59" i="24"/>
  <c r="P59" i="24" s="1"/>
  <c r="Q58" i="24"/>
  <c r="P58" i="24" s="1"/>
  <c r="Q57" i="24"/>
  <c r="P57" i="24" s="1"/>
  <c r="Q56" i="24"/>
  <c r="P56" i="24" s="1"/>
  <c r="Q55" i="24"/>
  <c r="P55" i="24" s="1"/>
  <c r="Q54" i="24"/>
  <c r="P54" i="24" s="1"/>
  <c r="Q53" i="24"/>
  <c r="P53" i="24" s="1"/>
  <c r="Q52" i="24"/>
  <c r="P52" i="24" s="1"/>
  <c r="Q51" i="24"/>
  <c r="P51" i="24" s="1"/>
  <c r="Q50" i="24"/>
  <c r="P50" i="24" s="1"/>
  <c r="Q49" i="24"/>
  <c r="P49" i="24" s="1"/>
  <c r="Q48" i="24"/>
  <c r="P48" i="24" s="1"/>
  <c r="Q47" i="24"/>
  <c r="P47" i="24" s="1"/>
  <c r="Q46" i="24"/>
  <c r="P46" i="24" s="1"/>
  <c r="Q45" i="24"/>
  <c r="P45" i="24" s="1"/>
  <c r="Q44" i="24"/>
  <c r="P44" i="24" s="1"/>
  <c r="Q43" i="24"/>
  <c r="P43" i="24" s="1"/>
  <c r="Q42" i="24"/>
  <c r="P42" i="24" s="1"/>
  <c r="Q41" i="24"/>
  <c r="P41" i="24" s="1"/>
  <c r="Q40" i="24"/>
  <c r="P40" i="24" s="1"/>
  <c r="Q39" i="24"/>
  <c r="P39" i="24" s="1"/>
  <c r="Q38" i="24"/>
  <c r="P38" i="24" s="1"/>
  <c r="Q37" i="24"/>
  <c r="P37" i="24" s="1"/>
  <c r="Q36" i="24"/>
  <c r="P36" i="24" s="1"/>
  <c r="Q35" i="24"/>
  <c r="P35" i="24" s="1"/>
  <c r="C9" i="24"/>
  <c r="C7" i="24"/>
  <c r="R37" i="10"/>
  <c r="S37" i="10"/>
  <c r="T37" i="10"/>
  <c r="U37" i="10"/>
  <c r="V37" i="10"/>
  <c r="R38" i="10"/>
  <c r="V38" i="10"/>
  <c r="R39" i="10"/>
  <c r="T39" i="10"/>
  <c r="V39" i="10"/>
  <c r="R40" i="10"/>
  <c r="S40" i="10"/>
  <c r="T40" i="10"/>
  <c r="U40" i="10"/>
  <c r="V40" i="10"/>
  <c r="R41" i="10"/>
  <c r="S41" i="10"/>
  <c r="T41" i="10"/>
  <c r="U41" i="10"/>
  <c r="V41" i="10"/>
  <c r="R42" i="10"/>
  <c r="S42" i="10"/>
  <c r="T42" i="10"/>
  <c r="U42" i="10"/>
  <c r="V42" i="10"/>
  <c r="R44" i="10"/>
  <c r="S44" i="10"/>
  <c r="T44" i="10"/>
  <c r="U44" i="10"/>
  <c r="R46" i="10"/>
  <c r="S46" i="10"/>
  <c r="T46" i="10"/>
  <c r="U46" i="10"/>
  <c r="V46" i="10"/>
  <c r="R47" i="10"/>
  <c r="S47" i="10"/>
  <c r="T47" i="10"/>
  <c r="U47" i="10"/>
  <c r="V47" i="10"/>
  <c r="S49" i="10"/>
  <c r="T49" i="10"/>
  <c r="U49" i="10"/>
  <c r="V49" i="10"/>
  <c r="R51" i="10"/>
  <c r="S51" i="10"/>
  <c r="T51" i="10"/>
  <c r="U51" i="10"/>
  <c r="R52" i="10"/>
  <c r="S52" i="10"/>
  <c r="T52" i="10"/>
  <c r="U52" i="10"/>
  <c r="V52" i="10"/>
  <c r="R53" i="10"/>
  <c r="S53" i="10"/>
  <c r="T53" i="10"/>
  <c r="U53" i="10"/>
  <c r="V53" i="10"/>
  <c r="R55" i="10"/>
  <c r="S55" i="10"/>
  <c r="T55" i="10"/>
  <c r="U55" i="10"/>
  <c r="S56" i="10"/>
  <c r="T56" i="10"/>
  <c r="U56" i="10"/>
  <c r="V56" i="10"/>
  <c r="R58" i="10"/>
  <c r="S58" i="10"/>
  <c r="T58" i="10"/>
  <c r="U58" i="10"/>
  <c r="V58" i="10"/>
  <c r="R62" i="10"/>
  <c r="R63" i="10"/>
  <c r="S63" i="10"/>
  <c r="T63" i="10"/>
  <c r="U63" i="10"/>
  <c r="V63" i="10"/>
  <c r="R64" i="10"/>
  <c r="S64" i="10"/>
  <c r="T64" i="10"/>
  <c r="U64" i="10"/>
  <c r="V64" i="10"/>
  <c r="S65" i="10"/>
  <c r="T65" i="10"/>
  <c r="E8" i="10" s="1"/>
  <c r="U65" i="10"/>
  <c r="V65" i="10"/>
  <c r="R66" i="10"/>
  <c r="S66" i="10"/>
  <c r="T66" i="10"/>
  <c r="U66" i="10"/>
  <c r="V66" i="10"/>
  <c r="R67" i="10"/>
  <c r="S67" i="10"/>
  <c r="T67" i="10"/>
  <c r="U67" i="10"/>
  <c r="V67" i="10"/>
  <c r="R68" i="10"/>
  <c r="S68" i="10"/>
  <c r="T68" i="10"/>
  <c r="U68" i="10"/>
  <c r="V68" i="10"/>
  <c r="R69" i="10"/>
  <c r="S69" i="10"/>
  <c r="T69" i="10"/>
  <c r="U69" i="10"/>
  <c r="V69" i="10"/>
  <c r="R72" i="10"/>
  <c r="S72" i="10"/>
  <c r="T72" i="10"/>
  <c r="U72" i="10"/>
  <c r="V72" i="10"/>
  <c r="R73" i="10"/>
  <c r="S73" i="10"/>
  <c r="T73" i="10"/>
  <c r="U73" i="10"/>
  <c r="V73" i="10"/>
  <c r="R74" i="10"/>
  <c r="S74" i="10"/>
  <c r="T74" i="10"/>
  <c r="U74" i="10"/>
  <c r="V74" i="10"/>
  <c r="R75" i="10"/>
  <c r="S75" i="10"/>
  <c r="T75" i="10"/>
  <c r="U75" i="10"/>
  <c r="V75" i="10"/>
  <c r="R76" i="10"/>
  <c r="S76" i="10"/>
  <c r="T76" i="10"/>
  <c r="U76" i="10"/>
  <c r="V76" i="10"/>
  <c r="R77" i="10"/>
  <c r="S77" i="10"/>
  <c r="T77" i="10"/>
  <c r="U77" i="10"/>
  <c r="V77" i="10"/>
  <c r="R78" i="10"/>
  <c r="S78" i="10"/>
  <c r="T78" i="10"/>
  <c r="U78" i="10"/>
  <c r="V78" i="10"/>
  <c r="R79" i="10"/>
  <c r="S79" i="10"/>
  <c r="T79" i="10"/>
  <c r="U79" i="10"/>
  <c r="V79" i="10"/>
  <c r="R80" i="10"/>
  <c r="S80" i="10"/>
  <c r="T80" i="10"/>
  <c r="U80" i="10"/>
  <c r="V80" i="10"/>
  <c r="R81" i="10"/>
  <c r="S81" i="10"/>
  <c r="T81" i="10"/>
  <c r="U81" i="10"/>
  <c r="V81" i="10"/>
  <c r="R82" i="10"/>
  <c r="S82" i="10"/>
  <c r="T82" i="10"/>
  <c r="U82" i="10"/>
  <c r="V82" i="10"/>
  <c r="R83" i="10"/>
  <c r="S83" i="10"/>
  <c r="T83" i="10"/>
  <c r="U83" i="10"/>
  <c r="V83" i="10"/>
  <c r="R84" i="10"/>
  <c r="S84" i="10"/>
  <c r="T84" i="10"/>
  <c r="U84" i="10"/>
  <c r="V84" i="10"/>
  <c r="R85" i="10"/>
  <c r="S85" i="10"/>
  <c r="T85" i="10"/>
  <c r="U85" i="10"/>
  <c r="V85" i="10"/>
  <c r="R86" i="10"/>
  <c r="S86" i="10"/>
  <c r="T86" i="10"/>
  <c r="U86" i="10"/>
  <c r="V86" i="10"/>
  <c r="R87" i="10"/>
  <c r="S87" i="10"/>
  <c r="T87" i="10"/>
  <c r="U87" i="10"/>
  <c r="V87" i="10"/>
  <c r="R88" i="10"/>
  <c r="S88" i="10"/>
  <c r="T88" i="10"/>
  <c r="U88" i="10"/>
  <c r="V88" i="10"/>
  <c r="R89" i="10"/>
  <c r="S89" i="10"/>
  <c r="T89" i="10"/>
  <c r="U89" i="10"/>
  <c r="V89" i="10"/>
  <c r="R90" i="10"/>
  <c r="S90" i="10"/>
  <c r="T90" i="10"/>
  <c r="U90" i="10"/>
  <c r="V90" i="10"/>
  <c r="R91" i="10"/>
  <c r="S91" i="10"/>
  <c r="T91" i="10"/>
  <c r="U91" i="10"/>
  <c r="V91" i="10"/>
  <c r="R92" i="10"/>
  <c r="S92" i="10"/>
  <c r="T92" i="10"/>
  <c r="U92" i="10"/>
  <c r="V92" i="10"/>
  <c r="R93" i="10"/>
  <c r="S93" i="10"/>
  <c r="T93" i="10"/>
  <c r="U93" i="10"/>
  <c r="V93" i="10"/>
  <c r="R94" i="10"/>
  <c r="S94" i="10"/>
  <c r="T94" i="10"/>
  <c r="U94" i="10"/>
  <c r="V94" i="10"/>
  <c r="V35" i="10"/>
  <c r="U35" i="10"/>
  <c r="T35" i="10"/>
  <c r="S35" i="10"/>
  <c r="R35" i="10"/>
  <c r="V36" i="10"/>
  <c r="O57" i="23"/>
  <c r="O61" i="23" s="1"/>
  <c r="O56" i="23"/>
  <c r="O60" i="23" s="1"/>
  <c r="M57" i="23"/>
  <c r="M61" i="23" s="1"/>
  <c r="M56" i="23"/>
  <c r="M60" i="23" s="1"/>
  <c r="K57" i="23"/>
  <c r="K61" i="23" s="1"/>
  <c r="K56" i="23"/>
  <c r="K60" i="23" s="1"/>
  <c r="P61" i="23"/>
  <c r="N61" i="23"/>
  <c r="L61" i="23"/>
  <c r="J61" i="23"/>
  <c r="P60" i="23"/>
  <c r="N60" i="23"/>
  <c r="L60" i="23"/>
  <c r="J60" i="23"/>
  <c r="P57" i="23"/>
  <c r="N57" i="23"/>
  <c r="L57" i="23"/>
  <c r="J57" i="23"/>
  <c r="P56" i="23"/>
  <c r="N56" i="23"/>
  <c r="L56" i="23"/>
  <c r="J56" i="23"/>
  <c r="O50" i="23"/>
  <c r="O49" i="23"/>
  <c r="M50" i="23"/>
  <c r="M54" i="23" s="1"/>
  <c r="M49" i="23"/>
  <c r="M32" i="23" s="1"/>
  <c r="K50" i="23"/>
  <c r="K54" i="23" s="1"/>
  <c r="K49" i="23"/>
  <c r="K32" i="23" s="1"/>
  <c r="P54" i="23"/>
  <c r="N54" i="23"/>
  <c r="L54" i="23"/>
  <c r="J54" i="23"/>
  <c r="P53" i="23"/>
  <c r="N53" i="23"/>
  <c r="L53" i="23"/>
  <c r="J53" i="23"/>
  <c r="P50" i="23"/>
  <c r="N50" i="23"/>
  <c r="L50" i="23"/>
  <c r="J50" i="23"/>
  <c r="P49" i="23"/>
  <c r="N49" i="23"/>
  <c r="L49" i="23"/>
  <c r="J49" i="23"/>
  <c r="O44" i="23"/>
  <c r="O47" i="23" s="1"/>
  <c r="M44" i="23"/>
  <c r="M47" i="23" s="1"/>
  <c r="K44" i="23"/>
  <c r="K47" i="23" s="1"/>
  <c r="P47" i="23"/>
  <c r="N47" i="23"/>
  <c r="L47" i="23"/>
  <c r="J47" i="23"/>
  <c r="P44" i="23"/>
  <c r="N44" i="23"/>
  <c r="L44" i="23"/>
  <c r="J44" i="23"/>
  <c r="P41" i="23"/>
  <c r="P40" i="23"/>
  <c r="N41" i="23"/>
  <c r="N40" i="23"/>
  <c r="O37" i="23"/>
  <c r="O34" i="23" s="1"/>
  <c r="O36" i="23"/>
  <c r="O33" i="23" s="1"/>
  <c r="M37" i="23"/>
  <c r="M36" i="23"/>
  <c r="M33" i="23" s="1"/>
  <c r="K37" i="23"/>
  <c r="K36" i="23"/>
  <c r="P37" i="23"/>
  <c r="P36" i="23"/>
  <c r="N37" i="23"/>
  <c r="N36" i="23"/>
  <c r="L41" i="23"/>
  <c r="J41" i="23"/>
  <c r="L40" i="23"/>
  <c r="J40" i="23"/>
  <c r="L37" i="23"/>
  <c r="J37" i="23"/>
  <c r="L36" i="23"/>
  <c r="J36" i="23"/>
  <c r="P34" i="23"/>
  <c r="P33" i="23"/>
  <c r="P32" i="23"/>
  <c r="C43" i="23"/>
  <c r="D43" i="23"/>
  <c r="E43" i="23"/>
  <c r="F43" i="23"/>
  <c r="G43" i="23" a="1"/>
  <c r="G43" i="23" s="1"/>
  <c r="H43" i="23" a="1"/>
  <c r="H43" i="23" s="1"/>
  <c r="B48" i="23"/>
  <c r="C48" i="23"/>
  <c r="D48" i="23"/>
  <c r="E48" i="23"/>
  <c r="F48" i="23"/>
  <c r="G48" i="23" a="1"/>
  <c r="G48" i="23" s="1"/>
  <c r="H48" i="23" a="1"/>
  <c r="H48" i="23" s="1"/>
  <c r="B55" i="23"/>
  <c r="C55" i="23"/>
  <c r="D55" i="23"/>
  <c r="E55" i="23"/>
  <c r="F55" i="23"/>
  <c r="G55" i="23" a="1"/>
  <c r="G55" i="23" s="1"/>
  <c r="H55" i="23" a="1"/>
  <c r="H55" i="23" s="1"/>
  <c r="B62" i="23"/>
  <c r="C62" i="23"/>
  <c r="D62" i="23"/>
  <c r="E62" i="23"/>
  <c r="F62" i="23"/>
  <c r="G62" i="23" a="1"/>
  <c r="G62" i="23" s="1"/>
  <c r="H62" i="23" a="1"/>
  <c r="H62" i="23" s="1"/>
  <c r="B69" i="23"/>
  <c r="C69" i="23"/>
  <c r="D69" i="23"/>
  <c r="E69" i="23"/>
  <c r="F69" i="23"/>
  <c r="G69" i="23" a="1"/>
  <c r="G69" i="23" s="1"/>
  <c r="H69" i="23" a="1"/>
  <c r="H69" i="23" s="1"/>
  <c r="B74" i="23"/>
  <c r="C74" i="23"/>
  <c r="D74" i="23"/>
  <c r="E74" i="23"/>
  <c r="F74" i="23"/>
  <c r="G74" i="23" a="1"/>
  <c r="G74" i="23" s="1"/>
  <c r="H74" i="23" a="1"/>
  <c r="H74" i="23" s="1"/>
  <c r="B81" i="23"/>
  <c r="C81" i="23"/>
  <c r="D81" i="23"/>
  <c r="E81" i="23"/>
  <c r="F81" i="23"/>
  <c r="G81" i="23" a="1"/>
  <c r="G81" i="23" s="1"/>
  <c r="H81" i="23" a="1"/>
  <c r="H81" i="23" s="1"/>
  <c r="B90" i="23"/>
  <c r="C90" i="23"/>
  <c r="D90" i="23"/>
  <c r="E90" i="23"/>
  <c r="F90" i="23"/>
  <c r="G90" i="23" a="1"/>
  <c r="G90" i="23" s="1"/>
  <c r="H90" i="23" a="1"/>
  <c r="H90" i="23" s="1"/>
  <c r="B95" i="23"/>
  <c r="C95" i="23"/>
  <c r="D95" i="23"/>
  <c r="E95" i="23"/>
  <c r="F95" i="23"/>
  <c r="G95" i="23" a="1"/>
  <c r="G95" i="23" s="1"/>
  <c r="H95" i="23" a="1"/>
  <c r="H95" i="23" s="1"/>
  <c r="B102" i="23"/>
  <c r="C102" i="23"/>
  <c r="D102" i="23"/>
  <c r="E102" i="23"/>
  <c r="F102" i="23"/>
  <c r="G102" i="23" a="1"/>
  <c r="G102" i="23" s="1"/>
  <c r="H102" i="23" a="1"/>
  <c r="H102" i="23" s="1"/>
  <c r="R36" i="10"/>
  <c r="S36" i="10"/>
  <c r="T36" i="10"/>
  <c r="U36" i="10"/>
  <c r="H35" i="23" a="1"/>
  <c r="H35" i="23" s="1"/>
  <c r="F35" i="23"/>
  <c r="D35" i="23"/>
  <c r="C35" i="23"/>
  <c r="N34" i="23"/>
  <c r="L34" i="23"/>
  <c r="J34" i="23"/>
  <c r="N33" i="23"/>
  <c r="L33" i="23"/>
  <c r="J33" i="23"/>
  <c r="N32" i="23"/>
  <c r="L32" i="23"/>
  <c r="J32" i="23"/>
  <c r="C19" i="22"/>
  <c r="D19" i="22"/>
  <c r="E19" i="22"/>
  <c r="F19" i="22"/>
  <c r="G19" i="22"/>
  <c r="H19" i="22"/>
  <c r="I19" i="22"/>
  <c r="C16" i="22"/>
  <c r="D16" i="22"/>
  <c r="E16" i="22"/>
  <c r="F16" i="22"/>
  <c r="G16" i="22"/>
  <c r="H16" i="22"/>
  <c r="I16" i="22"/>
  <c r="B16" i="22"/>
  <c r="C13" i="22"/>
  <c r="D13" i="22"/>
  <c r="E13" i="22"/>
  <c r="F13" i="22"/>
  <c r="G13" i="22"/>
  <c r="H13" i="22"/>
  <c r="I13" i="22"/>
  <c r="B13" i="22"/>
  <c r="I36" i="23" l="1"/>
  <c r="K33" i="23"/>
  <c r="I37" i="23"/>
  <c r="K34" i="23"/>
  <c r="M34" i="23"/>
  <c r="O53" i="23"/>
  <c r="O32" i="23"/>
  <c r="E6" i="10"/>
  <c r="Q46" i="10"/>
  <c r="Q87" i="10"/>
  <c r="Q79" i="10"/>
  <c r="Q69" i="10"/>
  <c r="Q64" i="10"/>
  <c r="Q53" i="10"/>
  <c r="Q93" i="10"/>
  <c r="Q85" i="10"/>
  <c r="Q77" i="10"/>
  <c r="Q67" i="10"/>
  <c r="Q42" i="10"/>
  <c r="Q35" i="10"/>
  <c r="Q36" i="10"/>
  <c r="Q92" i="10"/>
  <c r="Q84" i="10"/>
  <c r="Q76" i="10"/>
  <c r="Q66" i="10"/>
  <c r="Q90" i="10"/>
  <c r="Q82" i="10"/>
  <c r="Q74" i="10"/>
  <c r="Q47" i="10"/>
  <c r="Q40" i="10"/>
  <c r="Q88" i="10"/>
  <c r="Q80" i="10"/>
  <c r="Q72" i="10"/>
  <c r="Q58" i="10"/>
  <c r="Q91" i="10"/>
  <c r="Q83" i="10"/>
  <c r="Q75" i="10"/>
  <c r="Q94" i="10"/>
  <c r="Q86" i="10"/>
  <c r="Q78" i="10"/>
  <c r="Q68" i="10"/>
  <c r="Q63" i="10"/>
  <c r="Q52" i="10"/>
  <c r="Q41" i="10"/>
  <c r="Q37" i="10"/>
  <c r="Q89" i="10"/>
  <c r="Q81" i="10"/>
  <c r="Q73" i="10"/>
  <c r="C8" i="24"/>
  <c r="B8" i="24" s="1"/>
  <c r="P65" i="24"/>
  <c r="D12" i="24"/>
  <c r="E7" i="10"/>
  <c r="E10" i="10"/>
  <c r="O40" i="23"/>
  <c r="M40" i="23"/>
  <c r="M41" i="23"/>
  <c r="M46" i="23"/>
  <c r="K40" i="23"/>
  <c r="I40" i="23" s="1"/>
  <c r="K41" i="23"/>
  <c r="I41" i="23" s="1"/>
  <c r="B7" i="24"/>
  <c r="B9" i="24"/>
  <c r="C13" i="24"/>
  <c r="C14" i="24"/>
  <c r="B14" i="24" s="1"/>
  <c r="C6" i="24"/>
  <c r="C10" i="24"/>
  <c r="I60" i="23"/>
  <c r="K43" i="23"/>
  <c r="I56" i="23"/>
  <c r="M48" i="23"/>
  <c r="O43" i="23"/>
  <c r="I57" i="23"/>
  <c r="I61" i="23"/>
  <c r="K59" i="23"/>
  <c r="K55" i="23"/>
  <c r="I49" i="23"/>
  <c r="I32" i="23" s="1"/>
  <c r="I50" i="23"/>
  <c r="M53" i="23"/>
  <c r="M52" i="23" s="1"/>
  <c r="K53" i="23"/>
  <c r="O54" i="23"/>
  <c r="I54" i="23" s="1"/>
  <c r="O48" i="23"/>
  <c r="K48" i="23"/>
  <c r="I44" i="23"/>
  <c r="I47" i="23"/>
  <c r="M43" i="23"/>
  <c r="K35" i="23"/>
  <c r="O35" i="23"/>
  <c r="O41" i="23"/>
  <c r="M35" i="23"/>
  <c r="I39" i="23" l="1"/>
  <c r="I35" i="23"/>
  <c r="J4" i="10"/>
  <c r="C5" i="24"/>
  <c r="D5" i="24"/>
  <c r="M39" i="23"/>
  <c r="B10" i="24"/>
  <c r="K31" i="23"/>
  <c r="B6" i="24"/>
  <c r="B13" i="24"/>
  <c r="C12" i="24"/>
  <c r="B12" i="24" s="1"/>
  <c r="O46" i="23"/>
  <c r="K39" i="23"/>
  <c r="O52" i="23"/>
  <c r="O39" i="23"/>
  <c r="I48" i="23"/>
  <c r="K52" i="23"/>
  <c r="I53" i="23"/>
  <c r="I52" i="23" s="1"/>
  <c r="I43" i="23"/>
  <c r="K46" i="23"/>
  <c r="I46" i="23"/>
  <c r="S43" i="10"/>
  <c r="T43" i="10"/>
  <c r="U43" i="10"/>
  <c r="V43" i="10"/>
  <c r="V55" i="10"/>
  <c r="Q55" i="10" s="1"/>
  <c r="T62" i="10"/>
  <c r="U62" i="10"/>
  <c r="V62" i="10"/>
  <c r="S62" i="10"/>
  <c r="S60" i="10"/>
  <c r="T60" i="10"/>
  <c r="U60" i="10"/>
  <c r="V60" i="10"/>
  <c r="S48" i="10"/>
  <c r="S54" i="10"/>
  <c r="D8" i="10"/>
  <c r="S71" i="10"/>
  <c r="R70" i="10"/>
  <c r="R71" i="10"/>
  <c r="V50" i="10"/>
  <c r="T54" i="10"/>
  <c r="U54" i="10"/>
  <c r="V54" i="10"/>
  <c r="T48" i="10"/>
  <c r="U48" i="10"/>
  <c r="V48" i="10"/>
  <c r="V70" i="10"/>
  <c r="T71" i="10"/>
  <c r="U71" i="10"/>
  <c r="V71" i="10"/>
  <c r="R48" i="10"/>
  <c r="T70" i="10"/>
  <c r="T59" i="10"/>
  <c r="T61" i="10"/>
  <c r="S70" i="10"/>
  <c r="R57" i="10"/>
  <c r="R59" i="10"/>
  <c r="S61" i="10"/>
  <c r="R61" i="10"/>
  <c r="S57" i="10"/>
  <c r="V44" i="10"/>
  <c r="Q44" i="10" s="1"/>
  <c r="U39" i="10"/>
  <c r="Q39" i="10" s="1"/>
  <c r="V51" i="10"/>
  <c r="Q51" i="10" s="1"/>
  <c r="S59" i="10"/>
  <c r="T45" i="10"/>
  <c r="E11" i="10" s="1"/>
  <c r="E5" i="10" s="1"/>
  <c r="U38" i="10"/>
  <c r="R50" i="10"/>
  <c r="U59" i="10"/>
  <c r="Q62" i="10" l="1"/>
  <c r="B5" i="24"/>
  <c r="D4" i="24"/>
  <c r="Q48" i="10"/>
  <c r="Q71" i="10"/>
  <c r="E13" i="10"/>
  <c r="D13" i="10"/>
  <c r="R65" i="10"/>
  <c r="Q65" i="10" s="1"/>
  <c r="K73" i="23"/>
  <c r="I73" i="23" s="1"/>
  <c r="I70" i="23"/>
  <c r="I34" i="23" s="1"/>
  <c r="R49" i="10"/>
  <c r="C4" i="24"/>
  <c r="O31" i="23"/>
  <c r="T38" i="10"/>
  <c r="M31" i="23"/>
  <c r="S38" i="10"/>
  <c r="D7" i="10"/>
  <c r="D10" i="10"/>
  <c r="D6" i="10"/>
  <c r="C8" i="10"/>
  <c r="B8" i="10" s="1"/>
  <c r="R54" i="10"/>
  <c r="Q54" i="10" s="1"/>
  <c r="U70" i="10"/>
  <c r="Q70" i="10" s="1"/>
  <c r="C7" i="10"/>
  <c r="B4" i="24" l="1"/>
  <c r="C10" i="10"/>
  <c r="B10" i="10" s="1"/>
  <c r="Q49" i="10"/>
  <c r="Q38" i="10"/>
  <c r="I4" i="10" s="1"/>
  <c r="B7" i="10"/>
  <c r="K79" i="23"/>
  <c r="I75" i="23"/>
  <c r="K74" i="23"/>
  <c r="M55" i="23"/>
  <c r="O55" i="23"/>
  <c r="O59" i="23"/>
  <c r="S50" i="10"/>
  <c r="R43" i="10"/>
  <c r="Q43" i="10" s="1"/>
  <c r="K4" i="10" s="1"/>
  <c r="R60" i="10"/>
  <c r="Q60" i="10" s="1"/>
  <c r="R45" i="10"/>
  <c r="I74" i="23" l="1"/>
  <c r="I33" i="23"/>
  <c r="C11" i="10"/>
  <c r="C9" i="10"/>
  <c r="C13" i="10"/>
  <c r="B13" i="10" s="1"/>
  <c r="I55" i="23"/>
  <c r="I79" i="23"/>
  <c r="I78" i="23" s="1"/>
  <c r="K78" i="23"/>
  <c r="M59" i="23"/>
  <c r="I59" i="23"/>
  <c r="T57" i="10"/>
  <c r="V61" i="10"/>
  <c r="S45" i="10"/>
  <c r="U61" i="10"/>
  <c r="T50" i="10"/>
  <c r="E14" i="10" s="1"/>
  <c r="V59" i="10"/>
  <c r="Q59" i="10" s="1"/>
  <c r="Q61" i="10" l="1"/>
  <c r="D11" i="10"/>
  <c r="B11" i="10" s="1"/>
  <c r="D9" i="10"/>
  <c r="B9" i="10" s="1"/>
  <c r="E12" i="10"/>
  <c r="E4" i="10" s="1"/>
  <c r="U45" i="10"/>
  <c r="D14" i="10"/>
  <c r="D12" i="10" s="1"/>
  <c r="U57" i="10"/>
  <c r="U50" i="10"/>
  <c r="Q50" i="10" s="1"/>
  <c r="V45" i="10"/>
  <c r="Q45" i="10" l="1"/>
  <c r="H4" i="10" s="1"/>
  <c r="D5" i="10"/>
  <c r="D4" i="10" s="1"/>
  <c r="R56" i="10"/>
  <c r="Q56" i="10" s="1"/>
  <c r="C14" i="10"/>
  <c r="B14" i="10" s="1"/>
  <c r="V57" i="10"/>
  <c r="Q57" i="10" s="1"/>
  <c r="C6" i="10"/>
  <c r="B6" i="10" l="1"/>
  <c r="C5" i="10"/>
  <c r="B5" i="10" s="1"/>
  <c r="K69" i="23"/>
  <c r="C12" i="10"/>
  <c r="B12" i="10" s="1"/>
  <c r="I69" i="23" l="1"/>
  <c r="I31" i="23"/>
  <c r="I72" i="23"/>
  <c r="K72" i="23"/>
  <c r="G4" i="10"/>
  <c r="C4" i="10"/>
  <c r="B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Margo Keerme</author>
  </authors>
  <commentList>
    <comment ref="B6" authorId="0" shapeId="0" xr:uid="{6E7E33FE-4C6E-4A50-BDE2-FC08529B893A}">
      <text>
        <r>
          <rPr>
            <b/>
            <sz val="9"/>
            <color indexed="81"/>
            <rFont val="Segoe UI"/>
            <family val="2"/>
            <charset val="186"/>
          </rPr>
          <t>Margo Keerme:</t>
        </r>
        <r>
          <rPr>
            <sz val="9"/>
            <color indexed="81"/>
            <rFont val="Segoe UI"/>
            <family val="2"/>
            <charset val="186"/>
          </rPr>
          <t xml:space="preserve">
Siin kajastada Digipöörde, kui terviku eesmärki.</t>
        </r>
      </text>
    </comment>
    <comment ref="B9" authorId="0" shapeId="0" xr:uid="{06F42116-DB42-496C-B1B9-7E8A6B63D09D}">
      <text>
        <r>
          <rPr>
            <b/>
            <sz val="9"/>
            <color indexed="81"/>
            <rFont val="Segoe UI"/>
            <family val="2"/>
            <charset val="186"/>
          </rPr>
          <t>Margo Keerme:</t>
        </r>
        <r>
          <rPr>
            <sz val="9"/>
            <color indexed="81"/>
            <rFont val="Segoe UI"/>
            <family val="2"/>
            <charset val="186"/>
          </rPr>
          <t xml:space="preserve">
Siin kajastada Digipöörde tegevuskava (18-24 kuud) eesmärki.</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<sst xmlns="http://schemas.openxmlformats.org/spreadsheetml/2006/main" count="1029" uniqueCount="423">
  <si>
    <t>Valdkondlik digipööre</t>
  </si>
  <si>
    <t xml:space="preserve">Elluviija: </t>
  </si>
  <si>
    <t>Eesti Linnade ja Valdade Liit</t>
  </si>
  <si>
    <t>Valdkondliku digipöörde maksumus kokku (2023-2028) meetme nelja tegevuse lõikes, arvestdes kõiki rahasutsallikaid.</t>
  </si>
  <si>
    <t>Eelarve:</t>
  </si>
  <si>
    <t>Kokku
2023-2025</t>
  </si>
  <si>
    <t>Kokku:</t>
  </si>
  <si>
    <t>1. Infotehnoloogiliste lahenduste väljatöötamine ja arendamine</t>
  </si>
  <si>
    <t>2. küberruumi hoidmine, arendamine ja juurutamine usaldusväärse ja turvalisena</t>
  </si>
  <si>
    <t>3. Teadlikkuse tõstmine</t>
  </si>
  <si>
    <t>4. muu digipöördega seotud otsene kulu</t>
  </si>
  <si>
    <t>KOKKU:</t>
  </si>
  <si>
    <t>Digipöörde olemasolevad rahalised vahedid</t>
  </si>
  <si>
    <t>sh baaseelarve</t>
  </si>
  <si>
    <t>sh muu rahastus</t>
  </si>
  <si>
    <t>sh reserv (SR)</t>
  </si>
  <si>
    <t>sh RRF</t>
  </si>
  <si>
    <t>sh SF 14-20 (töös olev projekt)</t>
  </si>
  <si>
    <t>RRF</t>
  </si>
  <si>
    <t>Digipöörde puuduolevad rahalised vahendid</t>
  </si>
  <si>
    <t>sh RES IKT (vaja juurde taotleda)</t>
  </si>
  <si>
    <t>Puudu olev lisavajadus riigieelarvest, vajadus taotleda RES protsessis.</t>
  </si>
  <si>
    <t>sh SF 21-27 (taotletav raha)</t>
  </si>
  <si>
    <t>Puudu olev lisavajadus SF-st, SF 21-27 valdkondlike digipöörete toetusskeemist.</t>
  </si>
  <si>
    <t>NB! Mõõdikud tuleb täita ainult SF 2021-2027 rahastuse puhul.</t>
  </si>
  <si>
    <t>Meetmete nimekirja tulemusnäitaja:</t>
  </si>
  <si>
    <t>Uute ja uuendatud avalike digiteenuste, -toodete ja -protsesside kasutajad. Mõõtühik: lõppkasutajaid aastas.</t>
  </si>
  <si>
    <t>Elluviija kommentaar</t>
  </si>
  <si>
    <t>Käskkirjas välja toodud elluviijate peale kokku on mõõdiku 2029 sihttase 2 000 000. Välja tuua, milline on teie panus selle mõõdiku täitmisse.</t>
  </si>
  <si>
    <t>Periood</t>
  </si>
  <si>
    <t>2023 algtase</t>
  </si>
  <si>
    <t>2024 sihttase</t>
  </si>
  <si>
    <t>2025 sihttase</t>
  </si>
  <si>
    <t>2026 sihttase</t>
  </si>
  <si>
    <t>2027 sihttase</t>
  </si>
  <si>
    <t>2028 sihttase</t>
  </si>
  <si>
    <t>2029 sihttase</t>
  </si>
  <si>
    <t>2030 lõpptase</t>
  </si>
  <si>
    <t>Väärtus</t>
  </si>
  <si>
    <t>Sisestada tuleb täisarv.</t>
  </si>
  <si>
    <t>Meetmete nimekirja väljundnäitaja:</t>
  </si>
  <si>
    <t xml:space="preserve">Uued või uuendatud digiteenused, -tooted ja -protsessid. Mõõtühik: arv </t>
  </si>
  <si>
    <t>Käskkirjas välja toodud elluviijate peale kokku on mõõdiku 2029 sihttase 35. Välja tuua, milline on teie panus selle mõõdiku täitmisse.
Siia tuleb kokku lugeda lõpule viidud uued või uuendatud digiteenused, - tooted ja -protsessid.</t>
  </si>
  <si>
    <t>Kasutuskordade kokku lugemise metoodika määrab elluviija ise arvestades oma valdkonda. Sisestada tuleb täisarv.</t>
  </si>
  <si>
    <t>Avaliku sektori asutused, keda toetatakse digiteenuste, -toodete ja -protsesside väljatöötamiseks. Mõõtühik: Avaliku sektori asutused.</t>
  </si>
  <si>
    <t xml:space="preserve">Käskkirjas välja toodud elluviijate peale kokku on mõõdiku 2029 sihttase 35. Välja tuua, milline on teie panus selle mõõdiku täitmisse.
Siia tuleb kokku lugeda asutused, kes teie digipöörde raames SF toetust kasutavad (elluviija ja partnerid).
</t>
  </si>
  <si>
    <t>Tükkide kokku lugemise metoodika määrab elluviija ise arvestades oma valdkonda. Sisestada tuleb täisarv.</t>
  </si>
  <si>
    <t>Projektispetsiifiline näitaja (Eesti digiühiskonna arengukava 2030 (DA 2030) mõõdik):</t>
  </si>
  <si>
    <t xml:space="preserve">Avalike digiteenustega rahulolu. Mõõtühik: % </t>
  </si>
  <si>
    <t>Riigiüleselt avalike digiteenustega rahululu peab 2030. aastaks tõusma 90%-le. Välja tuua, milline on teie panus selle mõõdiku täitmisse.</t>
  </si>
  <si>
    <t>Rahulolu kokku lugemise metoodika määrab elluviija ise arvestades oma valdkonda</t>
  </si>
  <si>
    <t>NB! Kõik summad kajastada ilma käibemaksuta!</t>
  </si>
  <si>
    <t>Elluviija/ministeerium</t>
  </si>
  <si>
    <t>Struktuuriüksus</t>
  </si>
  <si>
    <t>Partner/Asutus</t>
  </si>
  <si>
    <t>Teenuse vastutaja</t>
  </si>
  <si>
    <t>DÜAK plokk</t>
  </si>
  <si>
    <t>Panus arengukava suunda</t>
  </si>
  <si>
    <t>Meetme toetatav tegevus</t>
  </si>
  <si>
    <t>TERE teenus</t>
  </si>
  <si>
    <t>Probleem</t>
  </si>
  <si>
    <t>Tegevuse (algatuse) nimi</t>
  </si>
  <si>
    <t>Tulemus</t>
  </si>
  <si>
    <t>Otsus</t>
  </si>
  <si>
    <t>Valdkonna prioriteet</t>
  </si>
  <si>
    <t>Slaid/allikas</t>
  </si>
  <si>
    <t>Paneeli vajadus</t>
  </si>
  <si>
    <t>Rahastuse allikas</t>
  </si>
  <si>
    <t>Summa kokku</t>
  </si>
  <si>
    <r>
      <t xml:space="preserve">2023
</t>
    </r>
    <r>
      <rPr>
        <sz val="11"/>
        <color theme="1"/>
        <rFont val="Calibri"/>
        <family val="2"/>
        <charset val="186"/>
        <scheme val="minor"/>
      </rPr>
      <t>(Kasutusse võetud vahendid, ehk kohustustega / lepingutega kaetud)</t>
    </r>
  </si>
  <si>
    <r>
      <rPr>
        <b/>
        <sz val="11"/>
        <color rgb="FF000000"/>
        <rFont val="Calibri"/>
        <family val="2"/>
        <charset val="186"/>
        <scheme val="minor"/>
      </rPr>
      <t xml:space="preserve">Kalkulatsioon ja  allika põhjendus
</t>
    </r>
    <r>
      <rPr>
        <i/>
        <sz val="11"/>
        <color rgb="FF000000"/>
        <rFont val="Calibri"/>
        <family val="2"/>
        <charset val="186"/>
        <scheme val="minor"/>
      </rPr>
      <t>Võimalusel kirjeldada siin lahtris, kui on põhjalikum tabeli kujul kalkulatsioon, siis see tuua välja eraldi Exceli lehel ja siin vastava rea lahtris sellele viidata.</t>
    </r>
  </si>
  <si>
    <t>Tegevuse jätkusuutlikkuse kulu</t>
  </si>
  <si>
    <t xml:space="preserve">Kommentaar
</t>
  </si>
  <si>
    <t>RES lisavajaduste grupid</t>
  </si>
  <si>
    <t>RES lisavajaduste kestvus</t>
  </si>
  <si>
    <t>Punkt 5.3.1.
„Toetuse andmise tingimused valdkondlike
digipöörete toetamiseks“</t>
  </si>
  <si>
    <t>Valdkond, osakond, kes elluviija juures teema eest vastutab.</t>
  </si>
  <si>
    <t>Partner/asutus, kelle eelarvest algatusi teostatakse
Punkt 5.6.
„Toetuse andmise tingimused valdkondlike
digipöörete toetamiseks“</t>
  </si>
  <si>
    <t>Vastutav teenuseomanik/
projektijuht</t>
  </si>
  <si>
    <t>(valida rippmenüüst)</t>
  </si>
  <si>
    <t>(valida rippmenüüst, SF TAT käskkirja punkt 3.1. neli tegevust)</t>
  </si>
  <si>
    <t>Kirjutada välja TERE teenuse nimetus</t>
  </si>
  <si>
    <t>Täita kõikide ridade puhul</t>
  </si>
  <si>
    <t>Täita kõikide ridade puhul
(Kui tegmist jätkusuutlikkuse tagamise tegevusega, siis see nimes välja tuua.)</t>
  </si>
  <si>
    <t xml:space="preserve">Täita kõikide ridade puhul.
Kui mitme aastane tegevus/projekt, siis kirjutada välja vähemalt 2024. ja 2025. aasta tulemus ning lõpptulemus.
RES lisavajadustel tuua välja, mida mingi aasta RES rahade eest ära tehakse. Kui lisavajadus on kogu perioodiks ja kulud on aasta-aastalt sama, siis näiteks:
2025-2028 - SF-st arendatu hoolduskulu, väikearendused, majutus riigipilves, jne.
Kui tegevused on aastati erinevad, siis tuua need välja järgmiselt:
2025 - 
2026 - 
2027 -
2028 - </t>
  </si>
  <si>
    <t>ok- rahastada, nok- mitte rahastada, ?-otsus lahtine</t>
  </si>
  <si>
    <t>Unikaalne prioriteet</t>
  </si>
  <si>
    <t xml:space="preserve">Esitatud slaidi number, või viide allikale, kus on võimalik tutvuda vajadusel sisuga, sh täpsemate kalkulatsioonidega </t>
  </si>
  <si>
    <t>Anda hinnang, kas on vajadus äri-, andmete-, arhitektuuri-, või muu paneeli järele.
NB! Paneelivajadus on igal üle 400 000 euro maksval algatusel/tegevusel. Konkreetne paneel, või paneelid otsustatakse MKM ettepanekul kohtumisel elluviijaga.</t>
  </si>
  <si>
    <t>Investeering
(15)</t>
  </si>
  <si>
    <t>Tööjõukulu
(50)</t>
  </si>
  <si>
    <t xml:space="preserve">Majandamiskulu
(55) </t>
  </si>
  <si>
    <t>Välja peab olema toodud tegevuste maksumuste arvutused, koos tundide hinna, tundide arvu ja tunnihinna selgitustega. Arenduste puhul lisada tunnihinna põhjendus varasemate hangetega. Inimeste palkamisel peab lähtuma Fontese palgauuringust ja viitama vastavale tööperele.</t>
  </si>
  <si>
    <t>RES lisavajaduste puhul tuua välja, milliste tabeli SF ridadega on käesolev jätkusuutlikkuse rida seotud. Nt: jätkusuutlikkuse kulu ridadele 38, 39 ja 40.
Kui ei ole tegemist jätkusuutlikkuse kuluga, vaid digipöördes eraldiseisva riigieelarvest täiendavat rahastust vajava tegevusega, siis see siin veerus välja tuua.</t>
  </si>
  <si>
    <t>1. Personaalne riik.
2. AI ja andmed.
3. Õigusaktidest tulenevad vajadused. 
4. Baasi korrastamine.
5. Küberturvalisus.
6. Mittesõjalised riigikaitselised IKT vajadused.</t>
  </si>
  <si>
    <r>
      <t xml:space="preserve">RES lisavajaduste puhul tuua välja kas tegemist </t>
    </r>
    <r>
      <rPr>
        <b/>
        <i/>
        <sz val="11"/>
        <rFont val="Calibri"/>
        <family val="2"/>
        <charset val="186"/>
      </rPr>
      <t>püsikuluga</t>
    </r>
    <r>
      <rPr>
        <i/>
        <sz val="11"/>
        <rFont val="Calibri"/>
        <family val="2"/>
        <charset val="186"/>
      </rPr>
      <t xml:space="preserve"> mis peab minema baasi, või on tegemist </t>
    </r>
    <r>
      <rPr>
        <b/>
        <i/>
        <sz val="11"/>
        <rFont val="Calibri"/>
        <family val="2"/>
        <charset val="186"/>
      </rPr>
      <t>ühekordse kuluga</t>
    </r>
    <r>
      <rPr>
        <i/>
        <sz val="11"/>
        <rFont val="Calibri"/>
        <family val="2"/>
        <charset val="186"/>
      </rPr>
      <t xml:space="preserve"> konkrteetse(te)l aasta(te)l.</t>
    </r>
  </si>
  <si>
    <t>ELVL</t>
  </si>
  <si>
    <t>I: Digiriik</t>
  </si>
  <si>
    <t>1.2.1. Avalike teenuste juhtimise ja kasutajakesksuse juurutamine</t>
  </si>
  <si>
    <t>IV: muu digipöördega seotud otsene kulu</t>
  </si>
  <si>
    <t>KOV infosüsteemide analüüsi põhjal:
KOVidel puudub enamasti ülevaade pakutavatest teenustest
Ametnike ega lõppkasutajate rahulolu teenustega reeglina ei mõõdeta
Arendusvajadused on enamasti suunatud automatiseerimisele ja käsitöö vähendamisele ametniku poolt
Teenuste üle kontroll puudub</t>
  </si>
  <si>
    <t>KOV avalike teenuste kaardistamise mudel ja ühtne kasutajate rahulolu mõõtmise süsteem</t>
  </si>
  <si>
    <t xml:space="preserve">2024 – projektijuhi värbamine, KOVide KOKSist tulenevate avalike teenuste esmane kaardistamine koostöös MKMi teenuste tiimiga KOV teenuste arendajatega pilootrühma baasil (5 KOVi). Jätkutegevuste kavandamine KOV teenuste esmase kaardistusest tulenevalt. Võimalikud tegevused: teenuste kaardistuse laiendamine kõikidele omavalitsustele; KOV teenuste standardi väljatöötamine ja valideerimine KOVidega; ühtse kasutajate rahulolu mõõtmise mudeli ja süsteemi analüüs 2025 - analüüsi tulemusena kasutajate rahulolu süsteemi arendus ja juurutamine. Lõpptulemus: KOVidel tekib ülevaade oma teenustest ja protsessidest ehk nn äripoole vajadustest; tervikpilt KOV (e-)teenustest ja kattuvusest riigiasutuste teenustega; KOV teenuste seotus sündmusteenustega; kasutajate rahulolu mõõtmine ja parendused on juurutatud teenuse osutamise protsessi.   </t>
  </si>
  <si>
    <t xml:space="preserve">ok </t>
  </si>
  <si>
    <t>Äripaneel</t>
  </si>
  <si>
    <t>SF 21-27 (taotletav raha)</t>
  </si>
  <si>
    <t xml:space="preserve">Teenuste projektijuhi töötasu, 2024 arvestatud 0,5 töökohta; 2025.a 1.0 töökoht. KOV teenuste ühtse kasutajate rahulolu mõõtmise metoodika ja infotehnoloogilise lahenduse väljatöötamine - ca 90 000 eurot. Personaliga seotud otsesed majanduskulud (arvutitöökoht, koolituskulud, sõidukulud) arvestatud ca 4000 eurot aastas. </t>
  </si>
  <si>
    <t>4. SF tegevus, mis vajab jätkusuutlikkuse kulusid, aga neid pole välja arvutatud ja eraldi real välja toodud</t>
  </si>
  <si>
    <t>Eeldame, et loodava IT lahenduse halduskulu maksavad KOVid ise kinni.</t>
  </si>
  <si>
    <t>1.2.7. Avaliku sektori digimuutuste võimendamine</t>
  </si>
  <si>
    <t>III: teadlikkuse tõstmine</t>
  </si>
  <si>
    <t>KOV infosüsteemide analüüsile tuginedes:
KOVide teenustega seotud kompetentsid on madalad
Ametnike ega lõppkasutajate rahulolu teenustega reeglina ei mõõdeta
Kasutajakeskne mõtteviis puudub, kasutajakogemusega tegelevad vaid üksikud omavalitsused</t>
  </si>
  <si>
    <t xml:space="preserve">KOV teenuste omanike arenguprogramm ja KOV digikompetentside kasvatamine </t>
  </si>
  <si>
    <t>2024 – koostöös MKMi oskuste tiimi ja KOV personalivõrgustikuga detailsema plaani koostamine KOV digikompetentside kasvatamisekes, koolitusprogrammi hanke läbiviimine. Koolituse korraldamine 2024.a sügisel esmalt pilootgrupiga. Hinnanguliselt koolitatavate arv kokku:  250. Tegevus jätkub 2025.a KOV-ide teenuste eest vastutajad ehk nn äripoole omanikud saavad aru teenuspõhisest juhtimisest ja selleks tehnoloogia kasutamisest, sh turvalisuse, kasutajakogemuse, andmekaitse, teenusedisaini jm põhimõtetest. Koolitustel on suur rõhk praktilistel harjutustel ja grupitööl. Loob eeldused teenuste juhtimise konsolideerimiseks KOV teenusvaldkondades.            Pidev tegevus - Digiriigi Akadeemia jt riigi kesksete koolituste teavitustegevus KOVide suunal.</t>
  </si>
  <si>
    <t>Vajadus puudub</t>
  </si>
  <si>
    <t xml:space="preserve">Arenguprogrammi maksumuseks on arvestatud 100 000 eurot. Hinnanguline programmi läbinute arv on 250, arvestatud on 400 EUR/inimese kohta. ELVLis on 2023. aastast tööl KOV personalivõrgustiku koordinaator, kes tegeleb personali arendamisega. Tegevuse elluviimine toimub koostöös personali nõunikuga. </t>
  </si>
  <si>
    <t>5. SF tegevus, mis ei vaja jätkusuutlikkuse kulusid (nt analüüs)</t>
  </si>
  <si>
    <t>I: Infotehnoloogiliste lahenduste väljatöötamine ja arendamine</t>
  </si>
  <si>
    <t>KOVidel puudub võimalus viia õiguspäraselt ja turvaliselt virtuaalsetel koosolekutel hääletusi. Praegune VOLIS on legacy, mis tingib teenuse ebastabiilsuse kasutajakoormuse tõusu korral, kasutusel on vananenud tehnoloogia ja kasutajadisain. Kasutajate rahulolu on madal (5,63)</t>
  </si>
  <si>
    <t xml:space="preserve">KOV rahvahääletuste ja koosolekute digilahendus </t>
  </si>
  <si>
    <t>2024 - 2022.a valminud VOLIS2 analüüsi ülevaatus ja KOVidega koostöös minimaalsete arendatavate funktsionaalsuste kokkuleppimine -&gt; esmalt MVP arendus ehk minimaalne funktsionaalsus.       Hankedokumentatsiooni koostamine ja hanke läbiviimine arenduspartneri leidmiseks. Arenduse tulemusena valmib esimese etapina 2025. a KOV rahvahääletuste keskkonna (sh kaasavad eelarved) MVP:  kasutajate haldus; hääletussüsteem (sh isikukoodi põhised hääletused ja rahvahääletused); integratsioon rahvastikuregistriga (KOV ja asustusüksuse täpsus). Valminud infosüsteemi saavad KOVid kasutusele võtta teenuslepinguga kuutasu alusel. IS majutatakse pilvelahenduses.</t>
  </si>
  <si>
    <t>Eelanalüüs</t>
  </si>
  <si>
    <t xml:space="preserve">Äri- ja arhitektuuri paneel läbitud </t>
  </si>
  <si>
    <t>Kalkulatsioon: projektijuht-analüütik 0,6 FTE. Tarkvaraarenduseks on arvestatud 270 000.</t>
  </si>
  <si>
    <t>Senise VOLIS haldustasu on KOVid ise tasunud teenusepakkujale. Eeldus on, et analoogne mudel toimiks ka uue lahenduse puhul.</t>
  </si>
  <si>
    <t xml:space="preserve">III: Küberturvalisus </t>
  </si>
  <si>
    <t>3.3. Suurem küberturvalisuse tagamise võimekus</t>
  </si>
  <si>
    <t>II: küberruumi hoidmine, arendamine ja juurutamine usaldusväärse ja turvalisena</t>
  </si>
  <si>
    <t>Kohalike omavalitsuste infoturbe võimekus on endiselt madal. KOVid üha rohkem tunnistavad, et pole võimelised seda valdkonda katma. KOVid ei mõista infoturbe olemust ja vajalikkust, seda peetakse tehniliseks mitte organisatoorseks probleemiks. 
ISKE dokumentatsioon on enamikul olemas, kuid seda ei järgita. KOVidel puudub keskselt kasutatav andmebaas, kuhu koguda parimaid praktikaid, juhendmaterjali jms</t>
  </si>
  <si>
    <t>Küberturvalisuse tagamise tugi KOVidele</t>
  </si>
  <si>
    <t xml:space="preserve">2024 – infoturbe spetsialisti värbamine (osalise tööajaga), taustainfo kogumine ja tööplaani koostamine, ELVLi kui organisatsiooni ja digipöörde tegevuste turbevajaduste kaardistamine; KOVide EITS kasutusprofiili koostamisest tulenevad jätkutegevused.             E-ITS mentorite võrgustiku käivitamine (tugi KOVilt KOVile E-ITS rakendamisel). Lähteülesande koostamine sobiva lahenduse leidmiseks standardlahenduste kogu platvormi loomiseks ja arenduse tellimine. 
2025 -  E-ITS rakendamise toe jätkamine (mentorlus, veebiseminarid koostöös RIAga).  Parimate praktikate, juhendite ja dokumentatsiooni jagamise keskkonna käivitamine (nn KOV ülene siseveeb). Eesmärk on tõsta teadlikkust ja parandada infoturbe juhtimist KOV-ides.  </t>
  </si>
  <si>
    <t xml:space="preserve">Töötasu sisaldab infoturbespetsialist töötasu (0,6 FTE) ja E-ITS mentorite tasu. Personaliga seotud otsesed majanduskulud (arvutitöökoht, koolituskulud, sõidukulud) arvestatud ca 4000 eurot aastas.  Standardlahenduste kogu analüüs ja arenduskulu on arvestatud ca 50 000 eurot. </t>
  </si>
  <si>
    <t>1.2.2. Andmepõhine riigivalitsemine ja andmete taaskasutus</t>
  </si>
  <si>
    <t>KOVide poolt avaandmete avaldamine on vaevaline. Kuna paljud KOVide poolt kasutatavad infosüsteemid kuuluvad eraettevõtetele peab vajalike liidestuste loomiseks läbi rääkima teenusepakkujaga. RIHAs on mitmed KOVide poolt kasutatavad infosüsteemid registreerimata, vajaliku dokumentatsiooni koostamisega ei saada hakkama.</t>
  </si>
  <si>
    <t>Avaandmete avaldamise, andmehalduse ja AI tugi KOVidele</t>
  </si>
  <si>
    <t>2024 - värbamine; andmete valdkonna KOV hetkeolukorra kaardistus, sh infosüsteemide ja võimalike andmestike kaardistamine.             2024-2025: Osalemine MKMi-RIA andmete töögruppides, sh TSI projektis ning vajaduspõhiselt vahelüli rolli täitmine omavalitsustega kontakti saamisel. 
Avaandmete avaldamise toe pakkumine KOVidele: avaldatavate andmestike kokkuleppimine, abi andmete ettevalmistamisel ja avaldamisel, automatiseerimise lahenduste analüüs. Andmehalduse raamistiku "tõlkimine" ehk kohandamine KOVide jaoks, sh Rihakese kasutusvõimaluste analüüs. KOV teadlikkuse tõstmine andmete väärtusest ja võimalustest: parimate praktikate otsimine ja jagamine, praktiliste juhendite koostamine. ELVLi poolt Bürokrati piloteerimine KOV üldandmete osas.</t>
  </si>
  <si>
    <t>Andmete suuna projektijuhi töötasu (1 FTE).  Personaliga seotud otsesed majanduskulud (arvutitöökoht, koolituskulud, sõidukulud) arvestatud ca 4000 eurot aastas. 2025. a on arvestatud 25 000 eurot andmete valdkonnaga seotud juhendmaterjali kohendamiseks KOVidele.</t>
  </si>
  <si>
    <t>1.2.6. Avatud innovatsioon ja digiriigi kogukonna arendamine</t>
  </si>
  <si>
    <t xml:space="preserve">KOVide koostöö IT valdkonnas on mõnevõrra paranenud ELVL koordineerimisel. Digipöörde käigus saavad osad suunad kaetud, kuid vajalik on hoida ka laiemat vaadet KOV IT juhtimisele ja rollidele. </t>
  </si>
  <si>
    <t>KOV digivaldkonna kogukonna tugevdamine</t>
  </si>
  <si>
    <t>KOV IT võrgustiku regulaarsed virtuaalsed  lühiseminarid. Sügisel kahepäevase seminari korraldamine. KOV IT juhtimise parimate praktikate jagamise töötoad-kogemuslood (nt IT teenuste korraldus KOVis, võimalused tugiteenuste konsolideerimiseks KOVis, teenustega seotud tarkvarade võrdlus, IT juhtimise mudelid jms). Lisaks eraldi töötoad digipöörde suundade osas (andmed, küber, teenused)                                                           Tulemus: KOVid on teadlikumad üksteise parimatest praktikatest, suurenenud on omavaheline koostöö. Suurenenud teadlikkus riigipoolsetest kesksetest lahendustest jne.</t>
  </si>
  <si>
    <t>KOV IT juhtimise parimate praktikate jagamise töötoad-kogemuslood (nt IT teenuste korraldus KOVis, võimalused tugiteenuste konsolideerimiseks KOVis, teenustega seotud tarkvarade võrdlus, IT juhtimise mudelid jms). Arvestatud üks füüsilise kohaletulekuga kahepäevane seminar aastas.</t>
  </si>
  <si>
    <t>ELVL IKT KK on tegutsenud  ca 5 aastat, kuid üksuse võimekus on endiselt piiratud. Seni on rohkem keskendutud KOVide kesksete platvormide jätkusuutlikkuse tagamisele ja üldisele koordineerimisele ning KOV teenuste vaade on jäänud tahaplaanile.</t>
  </si>
  <si>
    <t>ELVL IKT Kompetentsikeskuse baasrahastus</t>
  </si>
  <si>
    <t>Pidevad tegevused: KOV IT juhtide võrgustiku koordineerimine ja infovahetus, KOVide nõustamine; KOV kesksete lahenduste tootejuhtimine (Anna Teada, Omavalitsuste portaal, VOLIS); Valdkonna õigusaktide kooskõlastamine; digivaldkonna arengudokumentide-tegevuskavade koostamises osalemine ja KOV huvide esindamine.</t>
  </si>
  <si>
    <t>Baaseelarve</t>
  </si>
  <si>
    <t xml:space="preserve">ELVL KOV IKT valdkonna baasrahastus kohalikelt omavalitsustelt.                                      </t>
  </si>
  <si>
    <t>2. Tegevus on jätkusuutlikkuse kulu (baaseelarve, RES lisataotlus, muu allikas)</t>
  </si>
  <si>
    <t>Tegemist on baasrahastusega KOVidelt üldiseks digipöörde elluviimiseks.</t>
  </si>
  <si>
    <t>Kohalike omavalitsuste IKT taristu seis on aegunud. Serverite tarkvara ning riistvara on amortiseerunud. Võrgu ülesehitus on tehtud süsteemitult ning kohati on laiendamine  problemaatiline. Serverite hoiustamine ei vasta infoturbe nõuetele.</t>
  </si>
  <si>
    <t>IKT taristu Riigipilve majutamine soodustingimustel KOVidele</t>
  </si>
  <si>
    <t xml:space="preserve">Vahetame välja KOV on-premise legacy serverid tänapäevaste pilvelahenduste vastu
Riigipilve on kolinud osaliselt või täielikult  60% KOV-idest ning loobunud enda lokaalsetest serveritest. Tagatud tõhusam riistavara kasutus ning serverite tänapäevasem haldus.                                                       </t>
  </si>
  <si>
    <t>RES IKT (vaja juurde taotleda)</t>
  </si>
  <si>
    <t>Riigipilves baasressursside majutuse kulu KOV-ile on ca 600 eur kuus. KOV võrguriistvara hankimine, paigaldamine ning seadistamine - 1 KOV-i hinnanguline võrguseadmete kulu 17 500 eurot. KOV serverite migreerimine Riigipilve keskkonda 100 000 EUR. 2-aastat on KOVile Riigipilves IKT taristu majutamine tasuta. Riigipilve tasu kompenseerimine KOVidele toimuks RES vahendite arvelt mitte RITi eelarvest (baastaristu majutus oleks RESi vahenditest ja ülejäänud ressursi eest tasub KOV)</t>
  </si>
  <si>
    <t>RES lisataotlus. Investeeringutega seotud püsikulud tasuvad KOVid hiljem oma eelarvest.</t>
  </si>
  <si>
    <t>Küberturvalisus</t>
  </si>
  <si>
    <t>ühekordne kulu</t>
  </si>
  <si>
    <t>Omavalitsuste veebilehtede platvorm OVP valmib 2023.a lõpuks. Alates 2024. a saaksid seda kasutusele võtta teised KOVid, kuid esialgu võib klientide hulk olla ebapiisav halduskulu katmiseks. Kuna OVP baseerub Valitsusportaalil, on vajalik hoida KOVide osa ajakohasena kui VPs toimuvad uuendused.</t>
  </si>
  <si>
    <t>Omavalitsuste portaali ja Anna Teada väikearendused</t>
  </si>
  <si>
    <t xml:space="preserve">Omavalitsuste portaali ja Anna Teada väikearenduste ja tarkvara hoolduse kulud. Lisaks vahesumma, mis tekib KOVidelt saadava tulu ja  portaali haldamiseks vajalike tegelike kulude vahest, juhul kui piisav hulk KOVe uut platvormi kasutusele ei võta. </t>
  </si>
  <si>
    <t>Taotlus ReMile</t>
  </si>
  <si>
    <t xml:space="preserve">Summa sisaldab Omavalitsuste portaali ja Anna teada infosüsteemi väikearendusi. Vajalik on hoida mõlemad infosüsteemid ajakohased, et oleks tagatud tarkvara turvalisus ja funktsionaalsuste toimivus. </t>
  </si>
  <si>
    <t>Taotletakse Regionaal- ja Põllumajandusministeeriumilt</t>
  </si>
  <si>
    <t>Baasi korrastamine</t>
  </si>
  <si>
    <t>püsikulu</t>
  </si>
  <si>
    <t>1.1.1. Üleminek sündmuspõhistele ja proaktiivsetele teenustele</t>
  </si>
  <si>
    <t>KOV on osa avalikust sektorist ning elanik ei tee tihti vahet riigi ja KOV teenustel. Hetkel ei ole KOV teenuseid liidestatud eesti.ee või riikliku mobiili-rakendusega. Elanik peab KOV teenuste kohta infot otsima KOV veebilehelt, KOV iseteenindusest vms allikast.</t>
  </si>
  <si>
    <t>KOV teenuste keskse platvormi eelanalüüs</t>
  </si>
  <si>
    <t xml:space="preserve">2024: eelanalüüsi hanke ettevalmistamine; 2025: KOV teenuste keskse platvormi eelanalüüsi läbiviimine ja jätkutegevuste kavandamine lähtuvalt analüüsist. Tegevuse elluviimisel koostöö RIA personaalse riigi osakonnaga. </t>
  </si>
  <si>
    <t xml:space="preserve">Eelanalüüsi maksumuseks on arvestatud ca 80 000 eurot lähtuvalt varasemast kogemusest analüüside tellimisel. Lähteülesande koostamise käigus summa täpsustub (sõltub analüüsi skoobist). Lisaks on arvestatud 2025. a personalikulu 0,5 FTE ulatuses projekti juhtimiseks. </t>
  </si>
  <si>
    <t>2023.a on teostatud I etapp ehk infoteenus eesti.ee. Hetkel ei ole võimalik eesti.ee kaudu KOV teenuseid taotleda.</t>
  </si>
  <si>
    <t>Lähedase surma sündmusteenuse juhtimine</t>
  </si>
  <si>
    <t>2024: Pilootprojekt kolme KOV-iga matusetoetuse taotluse info kuvamiseks eesti.ee-s, andmevahetuse analüüs ja prototüüp.
Pärismispildi analüüsi ettevalmistus</t>
  </si>
  <si>
    <t>Koostööleping MKMiga</t>
  </si>
  <si>
    <t>Tööjõukulud ja töökohaga seotud majanduskulud
Tõlke- ja toimetamiskulud
Kommunikatsioonitegevused
Konsultatsioonikulud</t>
  </si>
  <si>
    <t>1. Baaseelarve tegevus, mis sisaldab jätkusuutlikkuse kulusid ja need on samal real välja toodud</t>
  </si>
  <si>
    <t>RRFist rahastatud tegevus ELVL ja MKMi vahelise koostöölepingu alusel</t>
  </si>
  <si>
    <t>II: Ühenduvus</t>
  </si>
  <si>
    <t>1.1.2. Krativäeline riik</t>
  </si>
  <si>
    <t>Muu rahastus</t>
  </si>
  <si>
    <t>+km</t>
  </si>
  <si>
    <t>1.1.3. Inimkeskne Digiriik</t>
  </si>
  <si>
    <t>3. SF tegevus, mis vajab jätkusuutlikkuse kulusid ja need on eraldi real välja toodud</t>
  </si>
  <si>
    <t>1.1.4. Roheline digiriik</t>
  </si>
  <si>
    <t>Reserv (SR)</t>
  </si>
  <si>
    <t>SF 14-20 (töös olev projekt)</t>
  </si>
  <si>
    <t>1.2.3. Tulevikukindlad digiriigi platvormid</t>
  </si>
  <si>
    <t>3. teadlikkuse tõstmine</t>
  </si>
  <si>
    <t>1.2.4. Keskselt osutatud IT-alusteenused</t>
  </si>
  <si>
    <t>1.2.5. Uute lähenemisviiside pidev katsetamine</t>
  </si>
  <si>
    <t>1.2.8. Sihitud väliskoostöö</t>
  </si>
  <si>
    <t>2.1. Ajakohane ja ettevaatav õigusruum</t>
  </si>
  <si>
    <t>2.2. Juurdepääsuvõrkude väljaarendamine</t>
  </si>
  <si>
    <t>2.3. 5G- ja 6G-baastaristu arendamine</t>
  </si>
  <si>
    <t>Olemasolevad vahendid</t>
  </si>
  <si>
    <t>2.4. Uudsete sisu- ja äriteenuste arendus</t>
  </si>
  <si>
    <t>3.1. Ajakohane küberturvalisuse riiklik korraldus</t>
  </si>
  <si>
    <t>3.2. Suundumiste, riskide ja mõjude analüüsivõime</t>
  </si>
  <si>
    <t>Valdkonna digipööre</t>
  </si>
  <si>
    <t>Kokku</t>
  </si>
  <si>
    <t>Puudu olev jätkusuutlikkuse RES rahastus</t>
  </si>
  <si>
    <t>Algtase</t>
  </si>
  <si>
    <t>Lõpptase</t>
  </si>
  <si>
    <t>Lõpptase 2030</t>
  </si>
  <si>
    <t>Panustab arengukava suundadesse</t>
  </si>
  <si>
    <t>Meetme toetatavad tegevused</t>
  </si>
  <si>
    <t>Algatuse nimi</t>
  </si>
  <si>
    <t>2023 eelarve</t>
  </si>
  <si>
    <t>Kalkulatsioon ja  allika põhjendus</t>
  </si>
  <si>
    <t>Kommentaar</t>
  </si>
  <si>
    <t>2023 eelarve täitmine</t>
  </si>
  <si>
    <t>2023 täitmise aruanne / sisu kirjeldus / põhjendused</t>
  </si>
  <si>
    <t>Partner/asutus, kelle eelarvest algatusi teostatakse</t>
  </si>
  <si>
    <t>Täita kõikide ridade puhul.
Kui mitme aastane tegevus/projekt, siis kirjutada välja vähemalt 2023. aasta tulemus ja lõpptulemus.</t>
  </si>
  <si>
    <t>Anda hinnang, kas on vajadus äri-, andmete-, arhitektuuri-, või muu paneeli järele</t>
  </si>
  <si>
    <t>Seireküsimused (SF tegevustele):
1. Mis sai 2023. aastal tehtud?
2. Mis jäi 2023. aastal tegemata? Miks jäi tegemata?
3. Kas tegemata jäänud tegevus jäetaksegi tegemata, või lükkub edasi järgmisse perioodi?
4. Mis oli paneeli (andme-, äri, arhitektuuri-) tagasiside ja kas paneeli nõuded on täidetud?
5. Mis ettevalmistavaid tegevusi tehti 2023. aastal 2024, või hiljem algavate algatuste/tegevuste tarvis?
6. Mida on jõutud teha 2024. aasta alguses?</t>
  </si>
  <si>
    <t>Eesti Linnade ja Valdade Liit (ELVL)</t>
  </si>
  <si>
    <t xml:space="preserve">2023 – projektijuhi värbamine, KOVide KOKSist tulenevate avalike teenuste esmane kaardistamine koostöös MKMi teenuste tiimiga KOV teenuste arendajatega võrgustiku baasil (7 KOVi). Taustainfo kogumine ja jätkutegevuste kavandamine KOV teenuste esmase kaardistusest tulenevalt.
2024 – jätkutegevused lähtuvalt KOV teenuste esmasest kaardistusest. Võimalikud tegevused: teenuste kaardistuse laiendamine kõikidele omavalitsustele; KOV teenuste detailsema kaardistamise ühtse mudeli väljatöötamine ja valideerimine KOVidega; ühtse kasutajate rahulolu mõõtmise süsteemi kokkuleppimine, kavandatud jätkutegevused (teenuste kaardistamine ja rahulolu süsteemi juurutamine). KOVidel tekib ülevaade oma teenustest ja protsessidest ehk nn äripoole vajadustest.   </t>
  </si>
  <si>
    <t xml:space="preserve">Projektijuhi töötasu 1.10.2023-31.12.2024, brutopalk ca 3000 EUR/kuus. Teenuste kaardistamise ja ühtse kasutajate rahulolu mõõtmise mudeli väljatöötamine - ca 70 000 eurot. Personaliga seotud otsesed majanduskulud (arvutitöökoht, koolituskulud, sõidukulud) arvestatud ca 4000 eurot aastas. </t>
  </si>
  <si>
    <t>Alustasime ettevalmistavate tegevustega 2023.a sügisel, kuid sisuline algus oli 2024.a 
algusest. Digipöörde tegevuste algus venis kuna detailse tegevuskava kinnitamine toimus kavandatust hiljem ning 2023.a lõpus toimusid ELVLi volikogu otsusel muudatused ELVLi büroo struktuuris, mis hõlmasid ka IKT valdkonda. Ametikohtade ümberkorraldamise tulemusena täidab alates 01.01.2024 IKT nõunik 0,5 töökoha ulatuses teenuste projektijuhi ülesandeid. 2023.a sügisel alustati ettevalmistavaid tegevusi KOV teenuste kaardistamiseks koostöös Tartu linna ja MKMi teenuste nõunikuga. 2024.a jaanuaris tutvustati Tartu linna baasil koostatud baastabelit KOV teenuste arendajate pilootrühmale (7 KOVi) ning toimus 2 veebikohtumist tabeli sisu täpsustamiseks ja ühise seisukoha kujundamiseks. ELVLi teenuste projektijuht korraldas nelja omavalitsusega lisaks eraldi kohtumised, et täpsustada metoodikat, ootusi ja kaardistuse protsessi. Praeguseks on oma teenuste kaardistuse esitanud Rae vald ning maikuuks lisandub 3 KOVi kaardistus. Lisaks viis ELVLi teenuste projektijuht KOV pilootrühmaga läbi teenusedisaini kaardimängu, mille raames otsiti lahendusi KOV teenuste kasutajate tagasiside metoodika osas. Tegevused jätkuvad plaanipäraselt.</t>
  </si>
  <si>
    <t>2023 – koostöös MKMi oskuste tiimi ja KOV personalivõrgustikuga detailsema plaani koostamine KOV digikompetentside kasvatamisekes ning koolitusprogrammi ettevalmistus  Tulemus: valmis 2024. a tegevusplaan ja koolitusprogammi lähteülesanne.                                                                     2024 – koolitusprogrammi hanke läbiviimine ja koolitused. Hinnanguliselt koolitatavate arv:  250. Tegevus jätkub 2025.a KOV-ide teenuste eest vastutajad ehk nn äripoole omanikud saavad aru teenuspõhisest juhtimisest ja selleks tehnoloogia kasutamisest, sh turvalisuse, kasutajakogemuse, andmekaitse, teenusedisaini jm põhimõtetest. 
Koolitustel on suur rõhk praktilistel harjutustel ja grupitööl. Loob eeldused teenuste juhtimise konsolideerimiseks KOV teenusvaldkondades.            Pidev tegevus - Digiriigi Akadeemia jt riigi kesksete koolituste teavitustegevus KOVide suunal.</t>
  </si>
  <si>
    <t xml:space="preserve">Arenguprogrammi maksumuseks on arvestatud 100 000 eurot. Hinnanguline programmi läbinute arv on 250, arvestatud on 400 EUR/inimese kohta. ELVLis on 2023. aastast tööl KOV personalivõrgustiku koordinaator, kes tegeleb personali arendamisega. Arenguprogrammi oleks võimalik ühitada riigi teenistujatele suunatud koolitus-programmidega, kuid sisu peab katma ka KOV spetsiifikat.  </t>
  </si>
  <si>
    <t xml:space="preserve">Alustasime ettevalmistavate tegevustega 2023.a sügisel koostöös ELVLi personalinõunikuga. 2023.a lõpus viidi läbi veebiküsitlus KOV personalivõrgustiku seas, et saada ülevaade KOVide koolitustegevusest digivaldkonna teemadel. Lisaks küsiti personalitöötajatelt, mida üldse mõistetakse digikompetentside all. Küsitlusele vastajate hulk oli tagasihoidlik, kuid siiski saadi kinnitust, et digikompetentsid hõlmavad KOVide vaatest eelkõige tarkvara/riistvara kasutamisega seotud oskusi. ELVL korraldas veebruarikuus Pärnus KOV personalivõrgustikule kahepäevase seminari, kus fookuses olid digiteemad. Seminaril tutvustati muuhulgas Digiriigi Akadeemia koolitusi ning digikompetentside arutelupaneelis osalesid Digiriigi akadeemia projektijuht, ELVLi IKT nõunik ja Praxise analüütik. KOV teenuste omanike arenguprogrammi hankedokumentsioon ja tehniline kirjeldus on ettevalmistamisel. Plaanis on hange välja kuulutada maikuus. </t>
  </si>
  <si>
    <t>2023 - 2022.a valminud VOLIS2 analüüsi ülevaatus ja KOVidega koostöös minimaalsete arendatavate funktsionaalsuste kokkuleppimine -&gt; esmalt MVP arendus ehk minimaalne funktsionaalsus. Hanke tehnilise kirjelduse ettevalmistamine.                             2024 - hankedokumentatsiooni koostamine ja hanke läbiviimine arenduspartneri leidmiseks. Arenduse tulemusena valmib esimese etapina 2025. a KOV rahvahääletuste keskkonna (sh kaasavad eelarved) MVP:  kasutajate haldus; hääletussüsteem (sh isikukoodi põhised hääletused ja rahvahääletused); integratsioon rahvastikuregistriga (KOV ja asustusüksuse täpsus). Valminud infosüsteemi saavad KOVid kasutusele võtta teenuslepinguga kuutasu alusel. IS majutatakse pilvelahenduses.</t>
  </si>
  <si>
    <t>VOLIS2 analüüs on läbi viidud 2021-2022, plaanis on minna edasi nn light versiooniga ehk arendada MVP ehk KOV istungite ja koosolekute läbiviimise lahendus. Kalkulatsioon: projektijuht-analüütik 0,5 FTE, 1.09.2023 - 31.03.2025, brutopalk 3200 EUR/kuus. Tarkvaraarendus - 270 000.</t>
  </si>
  <si>
    <t xml:space="preserve">Aastal 2023 tegevusi ei toimunud, sest alustasime tegevustega 2024. 
2024.a esimestel kuudel uuendati 2022 a valminud VOLIS2 analüüs, mis töötati ümber ning kohendati. Uuendatud analüüsi alusel on võimalik tellida arendustööd, mis kataks ära tänase VOLIS rahvahääletuste läbiviimise funktsionaalsuse.
(VOLISel on kaks moodulit: 
- volikogu istungi läbiviimise moodul - sellele on täna turul alternatiiv tekkinud, mida üks KOV on kasutamas; 
- rahvahääletuse moodul (kasutatakse näiteks kaasava eelarve läbiviimiseks), seda funktsionaalsust täna turul olevad tooted ei paku. Valminud uuendatud analüüsi on arutatud ka RIA valimisteenistusega, et leida võimalikke koostöövõimalusi. RIA poolt hallatav VIS praegusel kujul ei sobi KOV rahvahääletusteks (kõrgemad turvanõuded ja erinev protsess), kuid lepiti kokku, et ELVLi tellitav infosüsteem arendatakse modulaarselt, et tulevikus oleks võimalik hääletuse moodul välja vahetada (juhul kui RIA poolt vastav lahendus tekib).
Tegevused algasid hiljem, kuid jätkuvad plaanipäraselt, hetkel on ettevalmistamisel hanke dokumentatsioon. Alates 01.01.2024 täidab ELVL IT projektijuht 0,6 töökoha ulatuses uue infosüsteemi projektijuhi ülesandeid. </t>
  </si>
  <si>
    <t xml:space="preserve">2023 – infoturbe spetsialisti värbamine (osalise tööajaga),  taustainfo kogumine ja tööplaani koostamine, ELVLi kui organisatsiooni ja digipöörde tegevuste turbevajaduste kaardistamine; KOVide EITS kasutusprofiili koostamisest tulenevad jätkutegevused. 
2024 –  E-ITS mentorite võrgustiku käivitamine (tugi KOVilt KOVile E-ITS rakendamisel). Analüüsi koostamine sobiva lahenduse leidmiseks standardlahenduste kogu platvormi loomisel; E-ITS rakendamise toe pakkumine KOVide EITS kasutusprofiilist lähtuvalt. EITS rakendamise tööriistade analüüs ja KOV vajadustest lähtuvate funktsionaalsuste kirjeldamine. Turvaline keskkond parimate praktikate ja dokumentatsiooni jagamiseks, mida kasutades on võimalik parandada infoturbe juhtimist KOV-ides.  </t>
  </si>
  <si>
    <t>Ilmselt äripaneel</t>
  </si>
  <si>
    <t xml:space="preserve">Infoturbespetsialist töötasu (1 FTE) 1.10.2023-31.12.2024, brutopalk ca 3300 EUR/kuus. 2024. a esmalt analüüsi koostamine sobiva lahenduse leidmiseks ning dokumentatsiooni kogumiseks. Personaliga seotud otsesed majanduskulud (arvutitöökoht, koolituskulud, sõidukulud) arvestatud ca 4000 eurot aastas. </t>
  </si>
  <si>
    <t>Alustasime ettevalmistavate tegevustega 2023. a lõpus. Ametikohtade ümberkorraldamise tulemusena täidab alates 01.01.2024 IT spetsialist 0,6 töökoha ulatuses infoturbe spetsialisti ülesandeid. 
2023.a detsembris käivitati E-ITS mentorlus. Selle raames sõlmiti käsunduslepingud nelja omavalitsuse töötajatega, sh E-ITS kasutusprofiili pilootprojektis osalenud omavalitsuste IT-juhid ning lisaks Jõgeva vallasekretär (kogemus RIA järelevalve läbimisega). Mentorid on praeguseks nõustanud 6 omavalitsust. Jätkatud on ka koostöös RIAga E-ITS veebiseminaride korraldamist KOV töötajatele. ELVL infoturbe spetsialist on lisaks tegelenud ELVLi kui organisatsiooni ja digipöörde tegevuste turbevajaduste kaardistamisega ning teinud eelanalüüsi standardlahenduste kogu platvormi loomiseks. Selle baasil koostatakse lähteülesanne arenduse tellimiseks. Keskkond arendatakse tõenäoliselt Sharepointi baasil ning tegemist saab olema nö KOVide ülese siseveebi lahendusega, mida esmalt saavad kasutama hakata ELVL IT-võrgustiku liikmed.</t>
  </si>
  <si>
    <t>Avaandmete avaldamise ja andmehalduse tugi KOVidele</t>
  </si>
  <si>
    <t xml:space="preserve">2024 - värbamine;                                                       Andmete valdkonna KOV hetkeolukorra kaardistus, sh infosüsteemide ja võimalike andmestike kaardistamine. Rihakese kasutuselevõtmise võimaluste analüüs koostöös kohalike omavalitsustega pilootprojektina. KOV parimate praktikate otsimine ja jagamine, KOVide teadlikkuse tõstmine andmete olulisusest ja kasutusvõimalustest. Osalemine MKMi-RIA andmete töögruppides, sh TSI projektis ning vajaduspõhiselt vahelüli rolli täitmine omavalitsustega kontakti saamisel. 
Lahenduse leidmine koostöös RIAga, kuidas oleks võimalik erinevate infosüsteemidega seotud andmeid otstarbekalt avaldada. Ülevaade KOVi infosüsteemidest RIHA vaatest (milline on seis ja võimalikud lahendused). </t>
  </si>
  <si>
    <t xml:space="preserve">Andmeanalüütiku töötasu (1 FTE) 1.01.-31.12.2024, brutopalk ca 2900 EUR/kuus.  Personaliga seotud otsesed majanduskulud (arvutitöökoht, koolituskulud, sõidukulud) arvestatud ca 4000 eurot aastas. </t>
  </si>
  <si>
    <t xml:space="preserve">Tegevusega alustati plaanipäraselt 2024.a. Kuna uue töötaja värbamise protsess võttis kavandatust kauem aega, asus andmete suuna projektijuht ELVLis tööle alates 18.märtsist. Tegevutega jätkatakse plaanipäraselt. ELVL IKT nõunik on osalenud riigi andmete juhtrühma töös ning ELVL on kaasatud osapool andmete kompetentsikeskuste ehk nn TSI projektis, kuhu õnnestus lisaks kaasata ka 5 omavalitsust. </t>
  </si>
  <si>
    <t>2023 a kogukonna tugevdamise tegevused kaetakse ELVL baasrahastusest.                                                        2024 - KOV IT võrgustiku regulaarsed virtuaalsed  lühiseminarid. Sügisel kahepäevase seminari korraldamine. KOV IT juhtimise parimate praktikate jagamise töötoad-kogemuslood (nt IT teenuste korraldus KOVis, võimalused tugiteenuste konsolideerimiseks KOVis, teenustega seotud tarkvarade võrdlus, IT juhtimise mudelid jms). Lisaks eraldi töötoad digipöörde suundade osas (andmed, küber, teenused)                                                           Tulemus: KOVid on teadlikumad üksteise parimatest praktikatest, suurenenud on omavaheline koostöö. Suurenenud teadlikkus riigipoolsetest kesksetest lahendustest jne.</t>
  </si>
  <si>
    <t>KOV IT juhtimise parimate praktikate jagamise töötoad-kogemuslood (nt IT teenuste korraldus KOVis, võimalused tugiteenuste konsolideerimiseks KOVis, teenustega seotud tarkvarade võrdlus, IT juhtimise mudelid jms). Arvestatud üks füüsilise kohaletulekuga seminar aastas (2023. a 1 päev, 2024. a 2-päevane).</t>
  </si>
  <si>
    <t xml:space="preserve">2024.a alguses uuendati KOV IT-võrgustiku listi, et oleks kaetud kõik kohalikud omavalitsused. Praeguseks on listis 163 liiget. 10-11.aprillil toimusid traditsioonilised linnade ja valdade päevad, seekord oli asukohaks Tartu. Digiteemadele oli pühendatud kaks ettekannet RIA poolt: 1) riigi kesksetest lahendustest kodanikele ja omavalitsustele ning 2) infoturbe teemadel.  
Alustatud on ettevalmistustega 2024.a sügisel korraldatavaks 2-päevaseks seminariks. Lisaks ettekannete formaadile on plaanis läbi viia töötoad erinevate teemade lõikes: andmed ja AI; küberturvalisus; teenuste juhtimine. Ürituse korraldamisel tehakse koostööd MKMi ja RIAga. </t>
  </si>
  <si>
    <t>2023. a lõpuks on valminud uus KOV IKT arengukava. Pidevad tegevused: KOV IT juhtide võrgustiku koordineerimine, infoseminaride korraldamine, KOVide nõustamine, KOV kesksete lahenduste tootejuhtimine (Anna Teada, Omavalitsuste portaal, VOLIS); Valdkonna õigusaktide kooskõlastamine.</t>
  </si>
  <si>
    <t xml:space="preserve">ELVL KOV IKT valdkonna baasrahastus lähtuvalt ELVL eelarvest.                                      </t>
  </si>
  <si>
    <t xml:space="preserve">2023. a oli plaanis uuendada KOV IKT arengukava. Kuna 2023.a lõpus algatati ka DÜAKi uuendamine, lepiti MKMiga kokku, et KOV digivaldkonna arengukava uuendatakse pärast DÜAKi uue versiooni valmimist. ELVL aitas ettevalmistada DÜAK uuendamise regionaaldigi töötuba, mis toimus 21. märtsil ning ELVL asedirektor osaleb DÜAK juhtrühmas. 
Pidevad tegevused: KOV IT võrgustiku koordineerimine, infovahetuse ja infoseminaride korraldamine, KOVide nõustamine, KOV kesksete lahenduste tootejuhtimine (Anna Teada, Omavalitsuste portaal, VOLIS); Valdkonna õigusaktide kooskõlastamine.
2023.a lõpus valmis uus Omavalitsuste portaali platvorm (mis baseerub Valitsusportaalil) ning I kvartali jooksul avalikustasid kõik pilootprojektis osalenud asutused (6) uued veebilehed. Praeguseks on uue platvormi kasutamisest huvitatud veel 35 KOVi, kuid hetkel ei ole võimalik seda pakkuda, kuna läbirääkimised RMITiga
 teenuse laiendamiseks KOVidele on takerdunud. Loodetavasti leitakse lahendus maikuus. </t>
  </si>
  <si>
    <t>Riigipilves baasressursside majutuse kulu KOV-ile on ca 600 eur kuus. KOV võrguriistvara hankimine, paigaldamine ning seadistamine - 1 KOV-i hinnanguline võrguseadmete kulu 17 500 eurot.</t>
  </si>
  <si>
    <t>Tegevus ei ole rahastust saanud.</t>
  </si>
  <si>
    <t>Omavalitsuste portaali halduskulu osaline katmine</t>
  </si>
  <si>
    <t>Rahastus kataks ära vahesumma, mis tekib KOVidelt saadava tulu ja  portaali haldamiseks vajalike tegelike kulude vahest, juhul kui piisav hulk KOVe uut platvormi kasutusele ei võta. Lisaks pisiarenduste ja tarkvara hoolduse kulud osas, mida ei kata RMITi teenus.</t>
  </si>
  <si>
    <t>KOV serverite migreerimine Riigipilve keskkonda 100 000 EUR.</t>
  </si>
  <si>
    <t xml:space="preserve">Kuna regionaalvaldkond liikus Rahandusministeeriumi alt Regionaal- ja Põllumajandusministeeriumisse, tuleb ELVLil taotleda tegevuse rahastust nüüd uutel alustel. Vastav summa on saanud eelneva kooskõlastuse ministeeriumi poolt. 
</t>
  </si>
  <si>
    <t>2-aastat on KOVile Riigipilves IKT taristu majutamine tasuta. Riigipilve tasu kompenseerimine KOVidele toimuks RES vahendite arvelt mitte RITi eelarvest (baastaristu majutus oleks RESi vahenditest ja ülejäänud ressursi eest tasub KOV)</t>
  </si>
  <si>
    <t>1. Tegevus sisaldab jätkusuutlikkuse kulusid ja need on samal real välja toodud.</t>
  </si>
  <si>
    <t>2. Tegevus on jätkusuutlikkuse kulu</t>
  </si>
  <si>
    <t>3. Tegevus, mis vajab jätkusuutlikkuse kulusid ja need on eraldi real välja toodud</t>
  </si>
  <si>
    <t>4. Tegevus, mis vajab jätkusuutlikkuse kulusid, aga neid pole välja arvutatud ja eraldi real välja toodud</t>
  </si>
  <si>
    <t>5. Tegevus, mis ei vaja jätkusuutlikkuse kulusid.</t>
  </si>
  <si>
    <t>Eesti Linnade ja Valdade Liidu valdkondlik digipööre</t>
  </si>
  <si>
    <t>Panus Eesti 2035 näitajatesse: Sooline võrdõiguslikkus, hoolivus ja koostöömeelsus, ligipääsevatus, KOV rahulolu teenusega</t>
  </si>
  <si>
    <t>Seos DA 2030 arengukavaga -peab olema välja toodud DA 2030 rahulolu mõõdik ning metoodika, kuidas parim kasutajakogemus saavutatakse.</t>
  </si>
  <si>
    <t xml:space="preserve">Seos vastava valdkonna arengukavaga </t>
  </si>
  <si>
    <t>Tegevuse seos rakenduskava poliitikaeesmärk 1 „Nutikam Eesti“ erieesmärgi „digitaliseerimisest kasu toomine kodanike, ettevõtjate, teadusasutuste ja avaliku sektori asutuste jaoks"  kasusaajaga</t>
  </si>
  <si>
    <t>Tegevuse põhjendatus - tegevus on seotud TAT eesmärkide ja tulemuste saavutamisega ning on läbinud koordineerija nõustamise kontroll-lehtede alusel</t>
  </si>
  <si>
    <t>Tegevuse kuluefektiivsus -tegevuse hinnastamisel on arvestatud parimaid praktikaid ja üldist tava (nt hangete raamlepingu hindasid, personalil Fontese uuringuid jms)</t>
  </si>
  <si>
    <t>Tegevuse elluviija suutlikkus tegevust ellu viia - arvestatud on elluviija või partneri varasemat kogemusi ja võimekust</t>
  </si>
  <si>
    <t>Elluviija: Eesti Linnade ja Valdade Liit</t>
  </si>
  <si>
    <t>x</t>
  </si>
  <si>
    <t>2. Küberruumi hoidmine, arendamine ja juurutamine usaldusväärse ja turvalisena</t>
  </si>
  <si>
    <t>3. Teadlikkuse tõstmine (teadlikkuse tõstmine punktides 3.1.1., 3.1.2. ja 3.1.4. nimetatud tegevuste osas, sealhulgas elluviija ja partnerite teadlikkuse tõstmine )</t>
  </si>
  <si>
    <t>4. Muu digipöördega seotud otsene kulu (valdkondliku digipöörde elluviimisega seotud tegevused)</t>
  </si>
  <si>
    <t>EELARVE KOKKU</t>
  </si>
  <si>
    <t>2023
algtase</t>
  </si>
  <si>
    <t>2024
sihttase</t>
  </si>
  <si>
    <t>2025
sihttase</t>
  </si>
  <si>
    <t>2026
sihttase</t>
  </si>
  <si>
    <t>2027
sihttase</t>
  </si>
  <si>
    <t>2028
sihttase</t>
  </si>
  <si>
    <t>2029
sihttase</t>
  </si>
  <si>
    <t>2030
lõpptase</t>
  </si>
  <si>
    <t>Valdkondliku digipöörde tegevuskava – Eesti Linnade ja Valdade Liit</t>
  </si>
  <si>
    <r>
      <t>Digipöörde eesmärk:</t>
    </r>
    <r>
      <rPr>
        <sz val="11"/>
        <color theme="1"/>
        <rFont val="Calibri"/>
        <family val="2"/>
        <charset val="186"/>
        <scheme val="minor"/>
      </rPr>
      <t> </t>
    </r>
  </si>
  <si>
    <t xml:space="preserve">KOVide pakutavad avalikud teenused on juhitud ja hallatud lähtudes lõppkasutajast ehk KOV elanikust. Välja on arendatud kaasaegne keskkond elanike kaasamiseks KOV otsustusprotsessidesse (nt kaasav eelarve, külavanema valimised). KOVide pakutavad teenused on riigi teenustega ühtses kasutajateekonnas lähtuvalt inimese/ettevõtte vajadustest. </t>
  </si>
  <si>
    <r>
      <t>Digipöörde tegevuskava eesmärk:</t>
    </r>
    <r>
      <rPr>
        <sz val="11"/>
        <color theme="1"/>
        <rFont val="Calibri"/>
        <family val="2"/>
        <charset val="186"/>
        <scheme val="minor"/>
      </rPr>
      <t> </t>
    </r>
  </si>
  <si>
    <t>Aastaks 2025 on käivitatud esmased tegevused ja välja töötatud konkreetne tegevusplaan digipöörde suundade lõikes, et liikuda KOVides mõtteviisi muutuse poole (avalike teenuste kasutajakesksus, andmepõhisus, kübeturvalisuse tagamine).</t>
  </si>
  <si>
    <t xml:space="preserve">Eesti Linnade ja Valdade Liit valdkondliku digipöörde 2023-2024 maksumus ilma käibemaksuta: </t>
  </si>
  <si>
    <r>
      <t>Kokku</t>
    </r>
    <r>
      <rPr>
        <sz val="11"/>
        <rFont val="Calibri"/>
        <family val="2"/>
        <charset val="186"/>
        <scheme val="minor"/>
      </rPr>
      <t> </t>
    </r>
  </si>
  <si>
    <r>
      <t>2023</t>
    </r>
    <r>
      <rPr>
        <sz val="11"/>
        <rFont val="Calibri"/>
        <family val="2"/>
        <charset val="186"/>
        <scheme val="minor"/>
      </rPr>
      <t> </t>
    </r>
  </si>
  <si>
    <r>
      <t>2024</t>
    </r>
    <r>
      <rPr>
        <sz val="11"/>
        <rFont val="Calibri"/>
        <family val="2"/>
        <charset val="186"/>
        <scheme val="minor"/>
      </rPr>
      <t> </t>
    </r>
  </si>
  <si>
    <r>
      <t>Olemasolevad vahendid</t>
    </r>
    <r>
      <rPr>
        <sz val="11"/>
        <rFont val="Calibri"/>
        <family val="2"/>
        <charset val="186"/>
        <scheme val="minor"/>
      </rPr>
      <t> </t>
    </r>
  </si>
  <si>
    <r>
      <rPr>
        <b/>
        <sz val="11"/>
        <color rgb="FF000000"/>
        <rFont val="Calibri"/>
        <family val="2"/>
        <charset val="186"/>
        <scheme val="minor"/>
      </rPr>
      <t>SF 2021-2027</t>
    </r>
    <r>
      <rPr>
        <sz val="11"/>
        <color rgb="FF000000"/>
        <rFont val="Calibri"/>
        <family val="2"/>
        <charset val="186"/>
        <scheme val="minor"/>
      </rPr>
      <t> </t>
    </r>
  </si>
  <si>
    <r>
      <rPr>
        <b/>
        <sz val="11"/>
        <color rgb="FF000000"/>
        <rFont val="Calibri"/>
        <family val="2"/>
        <charset val="186"/>
        <scheme val="minor"/>
      </rPr>
      <t>RES 2024-2027</t>
    </r>
    <r>
      <rPr>
        <sz val="11"/>
        <color rgb="FF000000"/>
        <rFont val="Calibri"/>
        <family val="2"/>
        <charset val="186"/>
        <scheme val="minor"/>
      </rPr>
      <t> </t>
    </r>
  </si>
  <si>
    <t>Eesti Linnade ja Valdade Liit valdkondliku digipöörde 2023-2025 
SF 2021-2027 toetuse summa koos käibemaksuga</t>
  </si>
  <si>
    <r>
      <t>2025</t>
    </r>
    <r>
      <rPr>
        <sz val="11"/>
        <rFont val="Calibri"/>
        <family val="2"/>
        <charset val="186"/>
        <scheme val="minor"/>
      </rPr>
      <t> </t>
    </r>
  </si>
  <si>
    <r>
      <t>SF 2021-2027</t>
    </r>
    <r>
      <rPr>
        <sz val="11"/>
        <rFont val="Calibri"/>
        <family val="2"/>
        <charset val="186"/>
        <scheme val="minor"/>
      </rPr>
      <t> </t>
    </r>
  </si>
  <si>
    <t>Elluviija /
partner</t>
  </si>
  <si>
    <t>Rahastuse allikas / meetme tegevus (SF)</t>
  </si>
  <si>
    <t>2023 kokku</t>
  </si>
  <si>
    <t>2024 kokku</t>
  </si>
  <si>
    <t>2025 kokku</t>
  </si>
  <si>
    <t>(EA konto)</t>
  </si>
  <si>
    <t>KOKKU</t>
  </si>
  <si>
    <t>ELVL/</t>
  </si>
  <si>
    <t>Summa koos käibemaksuga:</t>
  </si>
  <si>
    <r>
      <t>Liikide lõikes</t>
    </r>
    <r>
      <rPr>
        <sz val="10"/>
        <color rgb="FF040C0C"/>
        <rFont val="Calibri"/>
        <family val="2"/>
        <charset val="186"/>
        <scheme val="minor"/>
      </rPr>
      <t>​</t>
    </r>
  </si>
  <si>
    <t>Eelarve täitmine 31.12.2023</t>
  </si>
  <si>
    <r>
      <t>Eelarve</t>
    </r>
    <r>
      <rPr>
        <sz val="10"/>
        <color rgb="FF000000"/>
        <rFont val="Calibri"/>
        <family val="2"/>
        <charset val="186"/>
        <scheme val="minor"/>
      </rPr>
      <t>​</t>
    </r>
  </si>
  <si>
    <r>
      <t>Täitmine</t>
    </r>
    <r>
      <rPr>
        <sz val="10"/>
        <color rgb="FF000000"/>
        <rFont val="Calibri"/>
        <family val="2"/>
        <charset val="186"/>
        <scheme val="minor"/>
      </rPr>
      <t>​</t>
    </r>
  </si>
  <si>
    <r>
      <t>Jääk</t>
    </r>
    <r>
      <rPr>
        <sz val="10"/>
        <color rgb="FF000000"/>
        <rFont val="Calibri"/>
        <family val="2"/>
        <charset val="186"/>
        <scheme val="minor"/>
      </rPr>
      <t>​</t>
    </r>
  </si>
  <si>
    <r>
      <t>Täitmise %</t>
    </r>
    <r>
      <rPr>
        <sz val="10"/>
        <color rgb="FF000000"/>
        <rFont val="Calibri"/>
        <family val="2"/>
        <charset val="186"/>
        <scheme val="minor"/>
      </rPr>
      <t>​</t>
    </r>
  </si>
  <si>
    <t>Kokku​</t>
  </si>
  <si>
    <t>Riigieelarve​</t>
  </si>
  <si>
    <t>Välistoetused​</t>
  </si>
  <si>
    <t>Muud​ (liikmemaks)</t>
  </si>
  <si>
    <r>
      <t>Majandusliku sisu lõikes</t>
    </r>
    <r>
      <rPr>
        <sz val="10"/>
        <color rgb="FF000000"/>
        <rFont val="Calibri"/>
        <family val="2"/>
        <charset val="186"/>
        <scheme val="minor"/>
      </rPr>
      <t>​</t>
    </r>
  </si>
  <si>
    <t>Investeeringud​</t>
  </si>
  <si>
    <t>Tööjõukulud</t>
  </si>
  <si>
    <t>​Majandamiskulud​</t>
  </si>
  <si>
    <t>2024 eelarve</t>
  </si>
  <si>
    <r>
      <t>Liikide lõikes</t>
    </r>
    <r>
      <rPr>
        <sz val="10"/>
        <color rgb="FF000000"/>
        <rFont val="Calibri"/>
        <family val="2"/>
        <charset val="186"/>
        <scheme val="minor"/>
      </rPr>
      <t>​</t>
    </r>
  </si>
  <si>
    <t>Muud​</t>
  </si>
  <si>
    <r>
      <t>Majandusliku sisu lõikes</t>
    </r>
    <r>
      <rPr>
        <sz val="10"/>
        <color rgb="FF000000"/>
        <rFont val="Calibri"/>
        <family val="2"/>
        <charset val="186"/>
        <scheme val="minor"/>
      </rPr>
      <t>​</t>
    </r>
  </si>
  <si>
    <t>​Toetused ja muud</t>
  </si>
  <si>
    <t>Personali muutus</t>
  </si>
  <si>
    <r>
      <t>Valitsemisala IKT töötajate arv</t>
    </r>
    <r>
      <rPr>
        <sz val="11"/>
        <color rgb="FF000000"/>
        <rFont val="Raleway"/>
        <charset val="186"/>
      </rPr>
      <t>​</t>
    </r>
  </si>
  <si>
    <r>
      <t>01.01.2025*</t>
    </r>
    <r>
      <rPr>
        <sz val="11"/>
        <color rgb="FF000000"/>
        <rFont val="Raleway"/>
        <charset val="186"/>
      </rPr>
      <t>​</t>
    </r>
  </si>
  <si>
    <r>
      <t>01.01.2026*</t>
    </r>
    <r>
      <rPr>
        <sz val="11"/>
        <color rgb="FF000000"/>
        <rFont val="Raleway"/>
        <charset val="186"/>
      </rPr>
      <t>​</t>
    </r>
  </si>
  <si>
    <r>
      <t>01.01.2027*</t>
    </r>
    <r>
      <rPr>
        <sz val="11"/>
        <color rgb="FF000000"/>
        <rFont val="Raleway"/>
        <charset val="186"/>
      </rPr>
      <t>​</t>
    </r>
  </si>
  <si>
    <t>Töötajate arv ​</t>
  </si>
  <si>
    <t>Kasv​ (%, võrrelduna eelmise aastaga)</t>
  </si>
  <si>
    <t>* Prognoos</t>
  </si>
  <si>
    <t>Seisuga 01.01.2023</t>
  </si>
  <si>
    <t>Seisuga 01.01.2024</t>
  </si>
  <si>
    <t>IKT Personal</t>
  </si>
  <si>
    <t>Täidetud/olemas</t>
  </si>
  <si>
    <t>Täitmata</t>
  </si>
  <si>
    <t>andmekorraldusanalüütik​</t>
  </si>
  <si>
    <t>andmekvaliteedi kontrolli spetsialist​</t>
  </si>
  <si>
    <t>andmelao arendaja​</t>
  </si>
  <si>
    <t>jurist - ei ole kavas lähiajal täita​</t>
  </si>
  <si>
    <t>projektijuht​</t>
  </si>
  <si>
    <t>rakenduste administraator​</t>
  </si>
  <si>
    <t>riskijuht​</t>
  </si>
  <si>
    <t>süsteemiadministraator​</t>
  </si>
  <si>
    <t>tarkvara arhitekt​</t>
  </si>
  <si>
    <t>testija​</t>
  </si>
  <si>
    <t>tooteomanik​</t>
  </si>
  <si>
    <t>…</t>
  </si>
  <si>
    <t>NB! Tabelis tuua välja valitsemisala kõik IKT ametikohad. Vajadusel lisada ridu juurde.</t>
  </si>
  <si>
    <t>Andmeturve</t>
  </si>
  <si>
    <t>Analüütik (teabe)</t>
  </si>
  <si>
    <t>Arvutigraafika</t>
  </si>
  <si>
    <t>Andmeanalüüs</t>
  </si>
  <si>
    <t>Juhtimine</t>
  </si>
  <si>
    <t xml:space="preserve">Andmeanalüüs ja -seire </t>
  </si>
  <si>
    <t>Konsultandid</t>
  </si>
  <si>
    <t>Andmebaasiadministratsioon</t>
  </si>
  <si>
    <t>Projektijuhtimine</t>
  </si>
  <si>
    <t>Andmehaldur</t>
  </si>
  <si>
    <t>Süsteemiadministratsioon</t>
  </si>
  <si>
    <t>Andmeteadur (teabe)</t>
  </si>
  <si>
    <t>Süsteemianalüüs</t>
  </si>
  <si>
    <t>DEVOPS</t>
  </si>
  <si>
    <t>Süsteemiarhitektuur</t>
  </si>
  <si>
    <t>Haldus</t>
  </si>
  <si>
    <t>Tarkvara programmeerimine</t>
  </si>
  <si>
    <t>Helpdesk</t>
  </si>
  <si>
    <t>Teenuste tugi</t>
  </si>
  <si>
    <t>infoturbe logianalüütik</t>
  </si>
  <si>
    <t>Testimine</t>
  </si>
  <si>
    <t>Infoturbespetsialist</t>
  </si>
  <si>
    <t>IS haldur</t>
  </si>
  <si>
    <t>IS ärianalüütik</t>
  </si>
  <si>
    <t>IT analüütik</t>
  </si>
  <si>
    <t>Klienditeenindus</t>
  </si>
  <si>
    <t>küber pääsuhalduste spetsialist</t>
  </si>
  <si>
    <t>Küberinsener</t>
  </si>
  <si>
    <t>küberintsidentide haldur</t>
  </si>
  <si>
    <t>Küberkaitse spetsialist</t>
  </si>
  <si>
    <t>Masinõpe</t>
  </si>
  <si>
    <t>Rakenduse administraator</t>
  </si>
  <si>
    <t>Registripidaja</t>
  </si>
  <si>
    <t>Tarneinsener</t>
  </si>
  <si>
    <t>Teenuseomanik</t>
  </si>
  <si>
    <t xml:space="preserve">Tootejuhtimine </t>
  </si>
  <si>
    <t>Projekti/tegevuse nimi</t>
  </si>
  <si>
    <t>Digipöörde elluviimisega seotud personal tööperede lõikes</t>
  </si>
  <si>
    <t xml:space="preserve">Digipöörde elluviimisega seotud personal tööperede lõikes </t>
  </si>
  <si>
    <t>Mis aastal on töötaja värvatud / plaanis värvata?</t>
  </si>
  <si>
    <t xml:space="preserve">Kas on võtmetähtsusega? </t>
  </si>
  <si>
    <t>Kas töötaja on olemas või tuleb värvata?</t>
  </si>
  <si>
    <t>Aastane palgakulu</t>
  </si>
  <si>
    <t>Või kas roll on plaanis teenusena sisse osta?</t>
  </si>
  <si>
    <t>Teenusena sisse ostmisel maksumus</t>
  </si>
  <si>
    <t>Kui pikaks ajaks inimene värvatakse, roll teenusena sisse ostetakse?</t>
  </si>
  <si>
    <t>Milline on koormus digipöördes?</t>
  </si>
  <si>
    <t>Värvatud või teenusena sisse ostetutud töötaja rahastamise allikas</t>
  </si>
  <si>
    <t>("2a tegevuskava" lehe J veerg)</t>
  </si>
  <si>
    <t>(Tööpere nimetus, iga töötaja eraldi real)</t>
  </si>
  <si>
    <t>(Tööpere taseme number)</t>
  </si>
  <si>
    <t>(Tööpere nimetuse täpsustav selgitus)</t>
  </si>
  <si>
    <t>(märkida x-ga)</t>
  </si>
  <si>
    <t>(Jah/Ei)</t>
  </si>
  <si>
    <t>(On olemas / Tuleb värvata
tööjõukulu, 50)</t>
  </si>
  <si>
    <t>(olemasolev töötaja, või värvatav)</t>
  </si>
  <si>
    <t>(Jah / EI
majandamiskulu, 55)</t>
  </si>
  <si>
    <t>Kui lühiajaline (alla aasta), siis kogu maksumus, kui pikemaajaline (üle 1 aasta), siis aasta maksumus)</t>
  </si>
  <si>
    <t>(kuuks ajaks, aastaks, kogu digipöörde ajaks, jne)</t>
  </si>
  <si>
    <t>(% tööajast)</t>
  </si>
  <si>
    <t>(Baaseelarve/SF)</t>
  </si>
  <si>
    <t>Jah</t>
  </si>
  <si>
    <t>olemas</t>
  </si>
  <si>
    <t>ei</t>
  </si>
  <si>
    <t>digipöörde ajaks</t>
  </si>
  <si>
    <t>SF</t>
  </si>
  <si>
    <t>Ei</t>
  </si>
  <si>
    <t>E-ITS mentorite käsunduslepingud</t>
  </si>
  <si>
    <t>2 aastat</t>
  </si>
  <si>
    <t>nõustatud tundide alusel</t>
  </si>
  <si>
    <t>3 aastat</t>
  </si>
  <si>
    <t>puudu</t>
  </si>
  <si>
    <t>baaseelarve</t>
  </si>
  <si>
    <t xml:space="preserve">käsundusleping </t>
  </si>
  <si>
    <t>1 aasta</t>
  </si>
  <si>
    <t xml:space="preserve">Veerg: „Rahastuse allikas / meetme tegevus (SF)“: 
1 – (Baaseelarve, RES, reserv SR) – summad kajastatakse ilma käibemaksuta ja käibemaks arvestatakse juurde riigieelarvest; 
2 – (SF, nii 14-20, kui 21-27) – toetuse summad kajastatakse koos käibemaksuga, käibemaks on osa toetusest; 
3 – (RRF) – toetuse summad kajastatakse ilma käibemaksuta, käibemaks lisandub toetusele.  
4 – (muu rahastus) – summad kajastatakse ilma käibemaksuta, elluviija vastutab sõltuvalt rahastusest õige käibemaksu vormi rakendamise eest. 
 </t>
  </si>
  <si>
    <r>
      <t>(allkirjastatud digitaalselt)</t>
    </r>
    <r>
      <rPr>
        <sz val="9"/>
        <color rgb="FF000000"/>
        <rFont val="Calibri"/>
        <family val="2"/>
        <charset val="186"/>
        <scheme val="minor"/>
      </rPr>
      <t> </t>
    </r>
  </si>
  <si>
    <t>Liisa-Ly Pakosta</t>
  </si>
  <si>
    <t>justiits- ja digiminister</t>
  </si>
  <si>
    <t>Tulenevalt majandus- ja infotehnoloogiaministri 25. augusti 2023. a käskkirjast „Toetuse andmise tingimused valdkondlike digipöörete toetamiseks“ allkirjastan/kinnitanEesti Linnade ja Valdade Liidu digipöörde tegevuskava.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</si>
</sst>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
  </numFmts>
  <fonts count="57"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b/>
      <sz val="11"/>
      <color rgb="FFFF0000"/>
      <name val="Calibri"/>
      <family val="2"/>
      <charset val="186"/>
      <scheme val="minor"/>
    </font>
    <font>
      <sz val="11"/>
      <color rgb="FFFF0000"/>
      <name val="Calibri"/>
      <family val="2"/>
      <charset val="186"/>
      <scheme val="minor"/>
    </font>
    <font>
      <b/>
      <i/>
      <sz val="11"/>
      <color theme="1"/>
      <name val="Calibri"/>
      <family val="2"/>
      <charset val="186"/>
      <scheme val="minor"/>
    </font>
    <font>
      <i/>
      <sz val="11"/>
      <color theme="1"/>
      <name val="Calibri"/>
      <family val="2"/>
      <charset val="186"/>
      <scheme val="minor"/>
    </font>
    <font>
      <sz val="8"/>
      <name val="Calibri"/>
      <family val="2"/>
      <charset val="186"/>
      <scheme val="minor"/>
    </font>
    <font>
      <sz val="12"/>
      <color rgb="FF202020"/>
      <name val="Times New Roman"/>
      <family val="1"/>
      <charset val="186"/>
    </font>
    <font>
      <b/>
      <sz val="10"/>
      <color theme="1"/>
      <name val="Calibri"/>
      <family val="2"/>
      <charset val="186"/>
      <scheme val="minor"/>
    </font>
    <font>
      <b/>
      <sz val="10"/>
      <color rgb="FF202020"/>
      <name val="Calibri"/>
      <family val="2"/>
      <charset val="186"/>
      <scheme val="minor"/>
    </font>
    <font>
      <sz val="11"/>
      <name val="Calibri"/>
      <family val="2"/>
      <charset val="186"/>
    </font>
    <font>
      <i/>
      <sz val="11"/>
      <name val="Calibri"/>
      <family val="2"/>
      <charset val="186"/>
    </font>
    <font>
      <b/>
      <sz val="11"/>
      <name val="Calibri"/>
      <family val="2"/>
    </font>
    <font>
      <b/>
      <sz val="11"/>
      <color theme="1"/>
      <name val="Calibri"/>
      <family val="2"/>
      <scheme val="minor"/>
    </font>
    <font>
      <sz val="11"/>
      <name val="Calibri"/>
      <family val="2"/>
    </font>
    <font>
      <b/>
      <sz val="12"/>
      <name val="Calibri"/>
      <family val="2"/>
    </font>
    <font>
      <b/>
      <sz val="11"/>
      <name val="Calibri"/>
      <family val="2"/>
      <charset val="186"/>
    </font>
    <font>
      <sz val="10"/>
      <name val="Raleway"/>
      <family val="2"/>
    </font>
    <font>
      <sz val="11"/>
      <name val="Calibri"/>
      <family val="2"/>
      <scheme val="minor"/>
    </font>
    <font>
      <sz val="12"/>
      <name val="Calibri"/>
      <family val="2"/>
    </font>
    <font>
      <sz val="11"/>
      <color theme="1"/>
      <name val="Calibri"/>
      <family val="2"/>
      <scheme val="minor"/>
    </font>
    <font>
      <sz val="11"/>
      <color rgb="FF202020"/>
      <name val="Calibri"/>
      <family val="2"/>
      <scheme val="minor"/>
    </font>
    <font>
      <sz val="11"/>
      <color rgb="FF006100"/>
      <name val="Calibri"/>
      <family val="2"/>
      <charset val="186"/>
      <scheme val="minor"/>
    </font>
    <font>
      <sz val="11"/>
      <color theme="1"/>
      <name val="Calibri"/>
      <family val="2"/>
      <charset val="186"/>
      <scheme val="minor"/>
    </font>
    <font>
      <b/>
      <sz val="11"/>
      <color theme="1"/>
      <name val="Calibri"/>
      <family val="2"/>
      <charset val="186"/>
    </font>
    <font>
      <sz val="11"/>
      <color theme="1"/>
      <name val="Calibri"/>
      <family val="2"/>
      <charset val="186"/>
    </font>
    <font>
      <b/>
      <u/>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b/>
      <sz val="9"/>
      <color theme="1"/>
      <name val="Calibri"/>
      <family val="2"/>
      <charset val="186"/>
      <scheme val="minor"/>
    </font>
    <font>
      <b/>
      <sz val="11"/>
      <color rgb="FF000000"/>
      <name val="Calibri"/>
      <family val="2"/>
      <scheme val="minor"/>
    </font>
    <font>
      <i/>
      <sz val="11"/>
      <color rgb="FF000000"/>
      <name val="Calibri"/>
      <family val="2"/>
      <charset val="186"/>
      <scheme val="minor"/>
    </font>
    <font>
      <sz val="11"/>
      <color rgb="FF000000"/>
      <name val="Calibri"/>
      <family val="2"/>
      <scheme val="minor"/>
    </font>
    <font>
      <sz val="9"/>
      <color indexed="81"/>
      <name val="Segoe UI"/>
      <family val="2"/>
      <charset val="186"/>
    </font>
    <font>
      <b/>
      <sz val="9"/>
      <color indexed="81"/>
      <name val="Segoe UI"/>
      <family val="2"/>
      <charset val="186"/>
    </font>
    <font>
      <sz val="9"/>
      <color rgb="FF000000"/>
      <name val="Calibri"/>
      <family val="2"/>
      <charset val="186"/>
    </font>
    <font>
      <sz val="9"/>
      <color theme="1"/>
      <name val="Calibri"/>
      <family val="2"/>
      <charset val="186"/>
    </font>
    <font>
      <sz val="9"/>
      <name val="Calibri"/>
      <family val="2"/>
      <charset val="186"/>
    </font>
    <font>
      <sz val="11"/>
      <color rgb="FF000000"/>
      <name val="Raleway"/>
      <charset val="186"/>
    </font>
    <font>
      <b/>
      <u/>
      <sz val="14"/>
      <color theme="1"/>
      <name val="Calibri"/>
      <family val="2"/>
      <charset val="186"/>
      <scheme val="minor"/>
    </font>
    <font>
      <b/>
      <sz val="10"/>
      <color rgb="FF040C0C"/>
      <name val="Calibri"/>
      <family val="2"/>
      <charset val="186"/>
      <scheme val="minor"/>
    </font>
    <font>
      <sz val="10"/>
      <color rgb="FF040C0C"/>
      <name val="Calibri"/>
      <family val="2"/>
      <charset val="186"/>
      <scheme val="minor"/>
    </font>
    <font>
      <b/>
      <sz val="10"/>
      <color rgb="FF000000"/>
      <name val="Calibri"/>
      <family val="2"/>
      <charset val="186"/>
      <scheme val="minor"/>
    </font>
    <font>
      <sz val="10"/>
      <color rgb="FF000000"/>
      <name val="Calibri"/>
      <family val="2"/>
      <charset val="186"/>
      <scheme val="minor"/>
    </font>
    <font>
      <i/>
      <sz val="10"/>
      <color rgb="FF000000"/>
      <name val="Calibri"/>
      <family val="2"/>
      <charset val="186"/>
      <scheme val="minor"/>
    </font>
    <font>
      <vertAlign val="superscript"/>
      <sz val="11"/>
      <color theme="1"/>
      <name val="Calibri"/>
      <family val="2"/>
      <charset val="186"/>
      <scheme val="minor"/>
    </font>
    <font>
      <sz val="10"/>
      <color theme="1"/>
      <name val="Calibri"/>
      <family val="2"/>
      <charset val="186"/>
      <scheme val="minor"/>
    </font>
    <font>
      <sz val="12"/>
      <name val="Calibri"/>
      <family val="2"/>
      <charset val="186"/>
    </font>
    <font>
      <sz val="10"/>
      <name val="Raleway"/>
      <charset val="186"/>
    </font>
    <font>
      <b/>
      <sz val="11"/>
      <name val="Calibri"/>
      <family val="2"/>
      <charset val="186"/>
      <scheme val="minor"/>
    </font>
    <font>
      <b/>
      <i/>
      <sz val="11"/>
      <name val="Calibri"/>
      <family val="2"/>
      <charset val="186"/>
    </font>
    <font>
      <i/>
      <sz val="11"/>
      <name val="Calibri"/>
      <family val="2"/>
      <charset val="186"/>
      <scheme val="minor"/>
    </font>
    <font>
      <b/>
      <sz val="9"/>
      <name val="Calibri"/>
      <family val="2"/>
      <charset val="186"/>
    </font>
    <font>
      <i/>
      <sz val="9"/>
      <name val="Calibri"/>
      <family val="2"/>
      <charset val="186"/>
    </font>
    <font>
      <i/>
      <sz val="9"/>
      <color rgb="FF000000"/>
      <name val="Calibri"/>
      <family val="2"/>
      <charset val="186"/>
      <scheme val="minor"/>
    </font>
    <font>
      <sz val="9"/>
      <color rgb="FF000000"/>
      <name val="Calibri"/>
      <family val="2"/>
      <charset val="186"/>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C6EFCE"/>
      </patternFill>
    </fill>
    <fill>
      <patternFill patternType="solid">
        <fgColor rgb="FF92D050"/>
        <bgColor rgb="FF000000"/>
      </patternFill>
    </fill>
    <fill>
      <patternFill patternType="solid">
        <fgColor rgb="FFFFFFFF"/>
        <bgColor rgb="FF000000"/>
      </patternFill>
    </fill>
    <fill>
      <patternFill patternType="solid">
        <fgColor theme="8" tint="0.39997558519241921"/>
        <bgColor indexed="64"/>
      </patternFill>
    </fill>
    <fill>
      <patternFill patternType="solid">
        <fgColor rgb="FFCCCCCC"/>
        <bgColor indexed="64"/>
      </patternFill>
    </fill>
    <fill>
      <patternFill patternType="solid">
        <fgColor theme="0"/>
        <bgColor rgb="FF000000"/>
      </patternFill>
    </fill>
    <fill>
      <patternFill patternType="solid">
        <fgColor theme="9" tint="0.79998168889431442"/>
        <bgColor indexed="64"/>
      </patternFill>
    </fill>
    <fill>
      <patternFill patternType="solid">
        <fgColor theme="5" tint="0.59999389629810485"/>
        <bgColor indexed="64"/>
      </patternFill>
    </fill>
    <fill>
      <patternFill patternType="solid">
        <fgColor theme="2"/>
        <bgColor indexed="64"/>
      </patternFill>
    </fill>
    <fill>
      <patternFill patternType="solid">
        <fgColor theme="0" tint="-4.9989318521683403E-2"/>
        <bgColor indexed="64"/>
      </patternFill>
    </fill>
  </fills>
  <borders count="137">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auto="1"/>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auto="1"/>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rgb="FF000000"/>
      </bottom>
      <diagonal/>
    </border>
    <border>
      <left style="medium">
        <color indexed="64"/>
      </left>
      <right/>
      <top/>
      <bottom style="medium">
        <color indexed="64"/>
      </bottom>
      <diagonal/>
    </border>
    <border>
      <left style="thin">
        <color rgb="FF000000"/>
      </left>
      <right style="thin">
        <color rgb="FF000000"/>
      </right>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thin">
        <color rgb="FF000000"/>
      </right>
      <top/>
      <bottom/>
      <diagonal/>
    </border>
    <border>
      <left style="thin">
        <color rgb="FF000000"/>
      </left>
      <right/>
      <top/>
      <bottom style="thin">
        <color indexed="64"/>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right style="thin">
        <color indexed="64"/>
      </right>
      <top style="thin">
        <color rgb="FF000000"/>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style="thin">
        <color indexed="64"/>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indexed="64"/>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rgb="FF000000"/>
      </right>
      <top/>
      <bottom/>
      <diagonal/>
    </border>
    <border>
      <left/>
      <right style="medium">
        <color rgb="FF000000"/>
      </right>
      <top style="thin">
        <color rgb="FF000000"/>
      </top>
      <bottom style="thin">
        <color rgb="FF000000"/>
      </bottom>
      <diagonal/>
    </border>
    <border>
      <left style="thin">
        <color rgb="FF000000"/>
      </left>
      <right style="thin">
        <color rgb="FF000000"/>
      </right>
      <top style="medium">
        <color rgb="FF000000"/>
      </top>
      <bottom/>
      <diagonal/>
    </border>
    <border>
      <left/>
      <right style="thin">
        <color indexed="64"/>
      </right>
      <top style="medium">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indexed="64"/>
      </top>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s>
  <cellStyleXfs count="2">
    <xf numFmtId="0" fontId="0" fillId="0" borderId="0"/>
    <xf numFmtId="0" fontId="23" fillId="5" borderId="0" applyNumberFormat="0" applyBorder="0" applyAlignment="0" applyProtection="0"/>
  </cellStyleXfs>
  <cellXfs count="690">
    <xf numFmtId="0" fontId="0" fillId="0" borderId="0" xfId="0"/>
    <xf numFmtId="0" fontId="0" fillId="0" borderId="0" xfId="0" applyAlignment="1">
      <alignment vertical="top"/>
    </xf>
    <xf numFmtId="0" fontId="4" fillId="0" borderId="0" xfId="0" applyFont="1"/>
    <xf numFmtId="0" fontId="0" fillId="0" borderId="0" xfId="0" applyAlignment="1">
      <alignment horizontal="left" vertical="top"/>
    </xf>
    <xf numFmtId="0" fontId="3" fillId="0" borderId="0" xfId="0" applyFont="1" applyAlignment="1">
      <alignment horizontal="left" vertical="top"/>
    </xf>
    <xf numFmtId="0" fontId="1" fillId="3" borderId="3" xfId="0" applyFont="1" applyFill="1" applyBorder="1" applyAlignment="1">
      <alignment vertical="top"/>
    </xf>
    <xf numFmtId="0" fontId="0" fillId="3" borderId="0" xfId="0" applyFill="1" applyAlignment="1">
      <alignment horizontal="left" vertical="top"/>
    </xf>
    <xf numFmtId="0" fontId="1" fillId="3" borderId="3" xfId="0" applyFont="1" applyFill="1" applyBorder="1" applyAlignment="1">
      <alignment horizontal="left" vertical="top"/>
    </xf>
    <xf numFmtId="0" fontId="0" fillId="3" borderId="0" xfId="0" applyFill="1" applyAlignment="1">
      <alignment vertical="top"/>
    </xf>
    <xf numFmtId="3" fontId="1" fillId="3" borderId="3" xfId="0" applyNumberFormat="1" applyFont="1" applyFill="1" applyBorder="1" applyAlignment="1">
      <alignment vertical="top"/>
    </xf>
    <xf numFmtId="0" fontId="3" fillId="3" borderId="0" xfId="0" applyFont="1" applyFill="1" applyAlignment="1">
      <alignment horizontal="left" vertical="top"/>
    </xf>
    <xf numFmtId="0" fontId="1" fillId="3" borderId="21" xfId="0" applyFont="1" applyFill="1" applyBorder="1" applyAlignment="1">
      <alignment vertical="top"/>
    </xf>
    <xf numFmtId="3" fontId="1" fillId="3" borderId="21" xfId="0" applyNumberFormat="1" applyFont="1" applyFill="1" applyBorder="1" applyAlignment="1">
      <alignment horizontal="center" vertical="top"/>
    </xf>
    <xf numFmtId="0" fontId="1" fillId="3" borderId="21" xfId="0" applyFont="1" applyFill="1" applyBorder="1" applyAlignment="1">
      <alignment horizontal="center" vertical="top"/>
    </xf>
    <xf numFmtId="0" fontId="11" fillId="0" borderId="0" xfId="0" applyFont="1"/>
    <xf numFmtId="0" fontId="17" fillId="0" borderId="0" xfId="0" applyFont="1"/>
    <xf numFmtId="0" fontId="8" fillId="0" borderId="0" xfId="0" applyFont="1"/>
    <xf numFmtId="3" fontId="5" fillId="0" borderId="3" xfId="0" applyNumberFormat="1" applyFont="1" applyBorder="1" applyAlignment="1">
      <alignment vertical="top"/>
    </xf>
    <xf numFmtId="3" fontId="6" fillId="0" borderId="3" xfId="0" applyNumberFormat="1" applyFont="1" applyBorder="1" applyAlignment="1">
      <alignment vertical="top"/>
    </xf>
    <xf numFmtId="0" fontId="2" fillId="0" borderId="0" xfId="0" applyFont="1"/>
    <xf numFmtId="3" fontId="16" fillId="0" borderId="15" xfId="0" applyNumberFormat="1" applyFont="1" applyBorder="1" applyAlignment="1">
      <alignment vertical="top"/>
    </xf>
    <xf numFmtId="164" fontId="14" fillId="4" borderId="23" xfId="0" applyNumberFormat="1" applyFont="1" applyFill="1" applyBorder="1" applyAlignment="1">
      <alignment horizontal="center" vertical="top" wrapText="1"/>
    </xf>
    <xf numFmtId="164" fontId="14" fillId="4" borderId="30" xfId="0" applyNumberFormat="1" applyFont="1" applyFill="1" applyBorder="1" applyAlignment="1">
      <alignment horizontal="center" vertical="top" wrapText="1"/>
    </xf>
    <xf numFmtId="0" fontId="13" fillId="4" borderId="7" xfId="0" applyFont="1" applyFill="1" applyBorder="1" applyAlignment="1">
      <alignment horizontal="center" vertical="top"/>
    </xf>
    <xf numFmtId="164" fontId="0" fillId="4" borderId="41" xfId="0" applyNumberFormat="1" applyFill="1" applyBorder="1" applyAlignment="1">
      <alignment horizontal="center" vertical="top" wrapText="1"/>
    </xf>
    <xf numFmtId="164" fontId="0" fillId="4" borderId="8" xfId="0" applyNumberFormat="1" applyFill="1" applyBorder="1" applyAlignment="1">
      <alignment horizontal="center" vertical="top" wrapText="1"/>
    </xf>
    <xf numFmtId="164" fontId="0" fillId="4" borderId="10" xfId="0" applyNumberFormat="1" applyFill="1" applyBorder="1" applyAlignment="1">
      <alignment horizontal="center" vertical="top" wrapText="1"/>
    </xf>
    <xf numFmtId="164" fontId="0" fillId="4" borderId="9" xfId="0" applyNumberFormat="1" applyFill="1" applyBorder="1" applyAlignment="1">
      <alignment horizontal="center" vertical="top" wrapText="1"/>
    </xf>
    <xf numFmtId="164" fontId="0" fillId="4" borderId="7" xfId="0" applyNumberFormat="1" applyFill="1" applyBorder="1" applyAlignment="1">
      <alignment horizontal="center" vertical="top" wrapText="1"/>
    </xf>
    <xf numFmtId="0" fontId="15" fillId="0" borderId="16" xfId="0" applyFont="1" applyBorder="1" applyAlignment="1">
      <alignment horizontal="left" vertical="top"/>
    </xf>
    <xf numFmtId="0" fontId="12" fillId="0" borderId="3" xfId="0" applyFont="1" applyBorder="1"/>
    <xf numFmtId="3" fontId="20" fillId="0" borderId="17" xfId="0" applyNumberFormat="1" applyFont="1" applyBorder="1" applyAlignment="1">
      <alignment vertical="top"/>
    </xf>
    <xf numFmtId="3" fontId="20" fillId="0" borderId="15" xfId="0" applyNumberFormat="1" applyFont="1" applyBorder="1" applyAlignment="1">
      <alignment vertical="top"/>
    </xf>
    <xf numFmtId="3" fontId="20" fillId="0" borderId="35" xfId="0" applyNumberFormat="1" applyFont="1" applyBorder="1" applyAlignment="1">
      <alignment vertical="top"/>
    </xf>
    <xf numFmtId="0" fontId="1" fillId="0" borderId="0" xfId="0" applyFont="1" applyAlignment="1">
      <alignment vertical="top"/>
    </xf>
    <xf numFmtId="0" fontId="19" fillId="0" borderId="0" xfId="0" applyFont="1"/>
    <xf numFmtId="0" fontId="2" fillId="0" borderId="0" xfId="0" applyFont="1" applyAlignment="1">
      <alignment wrapText="1"/>
    </xf>
    <xf numFmtId="0" fontId="2" fillId="0" borderId="32" xfId="0" applyFont="1" applyBorder="1" applyAlignment="1">
      <alignment horizontal="left" vertical="top"/>
    </xf>
    <xf numFmtId="0" fontId="2" fillId="0" borderId="16" xfId="0" applyFont="1" applyBorder="1" applyAlignment="1">
      <alignment horizontal="left" vertical="top"/>
    </xf>
    <xf numFmtId="0" fontId="0" fillId="0" borderId="0" xfId="0" applyAlignment="1">
      <alignment vertical="top" wrapText="1"/>
    </xf>
    <xf numFmtId="0" fontId="25" fillId="0" borderId="28" xfId="0" applyFont="1" applyBorder="1" applyAlignment="1">
      <alignment horizontal="center" vertical="top" wrapText="1"/>
    </xf>
    <xf numFmtId="0" fontId="25" fillId="0" borderId="52" xfId="0" applyFont="1" applyBorder="1" applyAlignment="1">
      <alignment horizontal="center" vertical="top" wrapText="1"/>
    </xf>
    <xf numFmtId="3" fontId="25" fillId="0" borderId="33" xfId="0" applyNumberFormat="1" applyFont="1" applyBorder="1" applyAlignment="1">
      <alignment vertical="top" wrapText="1"/>
    </xf>
    <xf numFmtId="3" fontId="25" fillId="0" borderId="54" xfId="0" applyNumberFormat="1" applyFont="1" applyBorder="1" applyAlignment="1">
      <alignment vertical="top" wrapText="1"/>
    </xf>
    <xf numFmtId="0" fontId="0" fillId="0" borderId="55" xfId="0" applyBorder="1" applyAlignment="1">
      <alignment vertical="top" wrapText="1"/>
    </xf>
    <xf numFmtId="3" fontId="26" fillId="0" borderId="36" xfId="0" applyNumberFormat="1" applyFont="1" applyBorder="1" applyAlignment="1">
      <alignment horizontal="right" vertical="top" wrapText="1"/>
    </xf>
    <xf numFmtId="0" fontId="11" fillId="0" borderId="0" xfId="0" applyFont="1" applyAlignment="1">
      <alignment horizontal="center" vertical="top" wrapText="1"/>
    </xf>
    <xf numFmtId="0" fontId="11" fillId="0" borderId="55" xfId="0" applyFont="1" applyBorder="1" applyAlignment="1">
      <alignment horizontal="center" vertical="top" wrapText="1"/>
    </xf>
    <xf numFmtId="0" fontId="25" fillId="0" borderId="23" xfId="0" applyFont="1" applyBorder="1" applyAlignment="1">
      <alignment horizontal="left" vertical="top" wrapText="1"/>
    </xf>
    <xf numFmtId="0" fontId="11" fillId="0" borderId="56" xfId="0" applyFont="1" applyBorder="1" applyAlignment="1">
      <alignment horizontal="center" vertical="top" wrapText="1"/>
    </xf>
    <xf numFmtId="0" fontId="11" fillId="0" borderId="57" xfId="0" applyFont="1" applyBorder="1" applyAlignment="1">
      <alignment horizontal="center" vertical="top" wrapText="1"/>
    </xf>
    <xf numFmtId="0" fontId="1" fillId="2" borderId="4" xfId="0" applyFont="1" applyFill="1" applyBorder="1" applyAlignment="1">
      <alignment vertical="top" wrapText="1"/>
    </xf>
    <xf numFmtId="0" fontId="1" fillId="3" borderId="13" xfId="0" applyFont="1" applyFill="1" applyBorder="1" applyAlignment="1">
      <alignment vertical="top" wrapText="1"/>
    </xf>
    <xf numFmtId="0" fontId="1" fillId="3" borderId="18" xfId="0" applyFont="1" applyFill="1" applyBorder="1" applyAlignment="1">
      <alignment vertical="top" wrapText="1"/>
    </xf>
    <xf numFmtId="0" fontId="24" fillId="0" borderId="0" xfId="0" applyFont="1" applyAlignment="1">
      <alignment vertical="top" wrapText="1"/>
    </xf>
    <xf numFmtId="0" fontId="27" fillId="0" borderId="0" xfId="0" applyFont="1" applyAlignment="1">
      <alignment vertical="top"/>
    </xf>
    <xf numFmtId="0" fontId="31" fillId="6" borderId="60" xfId="0" applyFont="1" applyFill="1" applyBorder="1" applyAlignment="1">
      <alignment vertical="top" wrapText="1"/>
    </xf>
    <xf numFmtId="0" fontId="33" fillId="7" borderId="61" xfId="0" applyFont="1" applyFill="1" applyBorder="1" applyAlignment="1">
      <alignment vertical="top"/>
    </xf>
    <xf numFmtId="0" fontId="31" fillId="7" borderId="61" xfId="0" applyFont="1" applyFill="1" applyBorder="1" applyAlignment="1">
      <alignment vertical="top"/>
    </xf>
    <xf numFmtId="3" fontId="33" fillId="7" borderId="62" xfId="0" applyNumberFormat="1" applyFont="1" applyFill="1" applyBorder="1" applyAlignment="1">
      <alignment vertical="top"/>
    </xf>
    <xf numFmtId="0" fontId="33" fillId="7" borderId="65" xfId="0" applyFont="1" applyFill="1" applyBorder="1" applyAlignment="1">
      <alignment vertical="top"/>
    </xf>
    <xf numFmtId="3" fontId="33" fillId="7" borderId="64" xfId="0" applyNumberFormat="1" applyFont="1" applyFill="1" applyBorder="1" applyAlignment="1">
      <alignment vertical="top"/>
    </xf>
    <xf numFmtId="0" fontId="33" fillId="7" borderId="55" xfId="0" applyFont="1" applyFill="1" applyBorder="1" applyAlignment="1">
      <alignment vertical="top"/>
    </xf>
    <xf numFmtId="0" fontId="33" fillId="7" borderId="58" xfId="0" applyFont="1" applyFill="1" applyBorder="1" applyAlignment="1">
      <alignment vertical="top"/>
    </xf>
    <xf numFmtId="0" fontId="0" fillId="0" borderId="55" xfId="0" applyBorder="1" applyAlignment="1">
      <alignment vertical="top"/>
    </xf>
    <xf numFmtId="0" fontId="0" fillId="0" borderId="13" xfId="0" applyBorder="1" applyAlignment="1">
      <alignment horizontal="left" vertical="top"/>
    </xf>
    <xf numFmtId="0" fontId="0" fillId="0" borderId="55" xfId="0" applyBorder="1"/>
    <xf numFmtId="0" fontId="3" fillId="0" borderId="4" xfId="0" applyFont="1" applyBorder="1" applyAlignment="1">
      <alignment horizontal="left" vertical="top"/>
    </xf>
    <xf numFmtId="0" fontId="11" fillId="0" borderId="0" xfId="0" applyFont="1" applyAlignment="1">
      <alignment horizontal="left" vertical="top"/>
    </xf>
    <xf numFmtId="164" fontId="14" fillId="4" borderId="52" xfId="0" applyNumberFormat="1" applyFont="1" applyFill="1" applyBorder="1" applyAlignment="1">
      <alignment horizontal="center" vertical="top" wrapText="1"/>
    </xf>
    <xf numFmtId="164" fontId="0" fillId="4" borderId="52" xfId="0" applyNumberFormat="1" applyFill="1" applyBorder="1" applyAlignment="1">
      <alignment horizontal="left" vertical="top" wrapText="1"/>
    </xf>
    <xf numFmtId="0" fontId="36" fillId="0" borderId="40" xfId="0" applyFont="1" applyBorder="1" applyAlignment="1">
      <alignment vertical="top" wrapText="1"/>
    </xf>
    <xf numFmtId="0" fontId="36" fillId="0" borderId="72" xfId="0" applyFont="1" applyBorder="1" applyAlignment="1">
      <alignment vertical="top" wrapText="1"/>
    </xf>
    <xf numFmtId="0" fontId="4" fillId="0" borderId="0" xfId="0" applyFont="1" applyAlignment="1">
      <alignment vertical="top"/>
    </xf>
    <xf numFmtId="3" fontId="29" fillId="7" borderId="27" xfId="0" applyNumberFormat="1" applyFont="1" applyFill="1" applyBorder="1" applyAlignment="1">
      <alignment vertical="top"/>
    </xf>
    <xf numFmtId="0" fontId="28" fillId="7" borderId="27" xfId="0" applyFont="1" applyFill="1" applyBorder="1" applyAlignment="1">
      <alignment vertical="top"/>
    </xf>
    <xf numFmtId="0" fontId="29" fillId="7" borderId="27" xfId="0" applyFont="1" applyFill="1" applyBorder="1" applyAlignment="1">
      <alignment vertical="top"/>
    </xf>
    <xf numFmtId="0" fontId="28" fillId="7" borderId="66" xfId="0" applyFont="1" applyFill="1" applyBorder="1" applyAlignment="1">
      <alignment vertical="top"/>
    </xf>
    <xf numFmtId="0" fontId="28" fillId="7" borderId="29" xfId="0" applyFont="1" applyFill="1" applyBorder="1" applyAlignment="1">
      <alignment vertical="top"/>
    </xf>
    <xf numFmtId="3" fontId="28" fillId="7" borderId="62" xfId="0" applyNumberFormat="1" applyFont="1" applyFill="1" applyBorder="1" applyAlignment="1">
      <alignment vertical="top"/>
    </xf>
    <xf numFmtId="0" fontId="28" fillId="7" borderId="55" xfId="0" applyFont="1" applyFill="1" applyBorder="1" applyAlignment="1">
      <alignment vertical="top"/>
    </xf>
    <xf numFmtId="0" fontId="28" fillId="7" borderId="65" xfId="0" applyFont="1" applyFill="1" applyBorder="1" applyAlignment="1">
      <alignment vertical="top"/>
    </xf>
    <xf numFmtId="3" fontId="28" fillId="7" borderId="64" xfId="0" applyNumberFormat="1" applyFont="1" applyFill="1" applyBorder="1" applyAlignment="1">
      <alignment vertical="top"/>
    </xf>
    <xf numFmtId="0" fontId="28" fillId="7" borderId="58" xfId="0" applyFont="1" applyFill="1" applyBorder="1" applyAlignment="1">
      <alignment vertical="top"/>
    </xf>
    <xf numFmtId="3" fontId="29" fillId="7" borderId="61" xfId="0" applyNumberFormat="1" applyFont="1" applyFill="1" applyBorder="1" applyAlignment="1">
      <alignment vertical="top"/>
    </xf>
    <xf numFmtId="0" fontId="29" fillId="7" borderId="61" xfId="0" applyFont="1" applyFill="1" applyBorder="1" applyAlignment="1">
      <alignment vertical="top"/>
    </xf>
    <xf numFmtId="3" fontId="28" fillId="7" borderId="56" xfId="0" applyNumberFormat="1" applyFont="1" applyFill="1" applyBorder="1" applyAlignment="1">
      <alignment vertical="top"/>
    </xf>
    <xf numFmtId="0" fontId="28" fillId="7" borderId="56" xfId="0" applyFont="1" applyFill="1" applyBorder="1" applyAlignment="1">
      <alignment vertical="top"/>
    </xf>
    <xf numFmtId="0" fontId="28" fillId="7" borderId="57" xfId="0" applyFont="1" applyFill="1" applyBorder="1" applyAlignment="1">
      <alignment vertical="top"/>
    </xf>
    <xf numFmtId="0" fontId="28" fillId="7" borderId="0" xfId="0" applyFont="1" applyFill="1" applyAlignment="1">
      <alignment vertical="top"/>
    </xf>
    <xf numFmtId="3" fontId="28" fillId="7" borderId="65" xfId="0" applyNumberFormat="1" applyFont="1" applyFill="1" applyBorder="1" applyAlignment="1">
      <alignment vertical="top"/>
    </xf>
    <xf numFmtId="3" fontId="29" fillId="7" borderId="45" xfId="0" applyNumberFormat="1" applyFont="1" applyFill="1" applyBorder="1" applyAlignment="1">
      <alignment vertical="top"/>
    </xf>
    <xf numFmtId="0" fontId="28" fillId="7" borderId="78" xfId="0" applyFont="1" applyFill="1" applyBorder="1" applyAlignment="1">
      <alignment vertical="top"/>
    </xf>
    <xf numFmtId="3" fontId="28" fillId="7" borderId="79" xfId="0" applyNumberFormat="1" applyFont="1" applyFill="1" applyBorder="1" applyAlignment="1">
      <alignment vertical="top"/>
    </xf>
    <xf numFmtId="0" fontId="28" fillId="7" borderId="80" xfId="0" applyFont="1" applyFill="1" applyBorder="1" applyAlignment="1">
      <alignment vertical="top"/>
    </xf>
    <xf numFmtId="3" fontId="28" fillId="7" borderId="2" xfId="0" applyNumberFormat="1" applyFont="1" applyFill="1" applyBorder="1" applyAlignment="1">
      <alignment vertical="top"/>
    </xf>
    <xf numFmtId="0" fontId="28" fillId="7" borderId="73" xfId="0" applyFont="1" applyFill="1" applyBorder="1" applyAlignment="1">
      <alignment vertical="top"/>
    </xf>
    <xf numFmtId="0" fontId="0" fillId="0" borderId="78" xfId="0" applyBorder="1" applyAlignment="1">
      <alignment vertical="top"/>
    </xf>
    <xf numFmtId="0" fontId="0" fillId="0" borderId="44" xfId="0" applyBorder="1" applyAlignment="1">
      <alignment vertical="top"/>
    </xf>
    <xf numFmtId="0" fontId="28" fillId="7" borderId="44" xfId="0" applyFont="1" applyFill="1" applyBorder="1" applyAlignment="1">
      <alignment vertical="top"/>
    </xf>
    <xf numFmtId="0" fontId="29" fillId="7" borderId="78" xfId="0" applyFont="1" applyFill="1" applyBorder="1" applyAlignment="1">
      <alignment vertical="top"/>
    </xf>
    <xf numFmtId="3" fontId="25" fillId="0" borderId="30" xfId="0" applyNumberFormat="1" applyFont="1" applyBorder="1" applyAlignment="1">
      <alignment horizontal="right" vertical="top" wrapText="1"/>
    </xf>
    <xf numFmtId="3" fontId="25" fillId="0" borderId="36" xfId="0" applyNumberFormat="1" applyFont="1" applyBorder="1" applyAlignment="1">
      <alignment horizontal="right" vertical="top" wrapText="1"/>
    </xf>
    <xf numFmtId="0" fontId="37" fillId="0" borderId="53" xfId="0" applyFont="1" applyBorder="1" applyAlignment="1">
      <alignment vertical="top" wrapText="1"/>
    </xf>
    <xf numFmtId="0" fontId="38" fillId="0" borderId="5" xfId="0" applyFont="1" applyBorder="1" applyAlignment="1">
      <alignment vertical="top" wrapText="1"/>
    </xf>
    <xf numFmtId="0" fontId="38" fillId="0" borderId="6" xfId="0" applyFont="1" applyBorder="1" applyAlignment="1">
      <alignment vertical="top" wrapText="1"/>
    </xf>
    <xf numFmtId="0" fontId="2" fillId="3" borderId="3" xfId="0" applyFont="1" applyFill="1" applyBorder="1" applyAlignment="1">
      <alignment horizontal="center" vertical="top" wrapText="1"/>
    </xf>
    <xf numFmtId="0" fontId="0" fillId="3" borderId="3" xfId="0" applyFill="1" applyBorder="1" applyAlignment="1">
      <alignment horizontal="center" vertical="top" wrapText="1"/>
    </xf>
    <xf numFmtId="0" fontId="0" fillId="3" borderId="12" xfId="0" applyFill="1" applyBorder="1" applyAlignment="1">
      <alignment horizontal="center" vertical="top" wrapText="1"/>
    </xf>
    <xf numFmtId="3" fontId="2" fillId="3" borderId="16" xfId="0" applyNumberFormat="1" applyFont="1" applyFill="1" applyBorder="1" applyAlignment="1">
      <alignment horizontal="right" vertical="top" wrapText="1"/>
    </xf>
    <xf numFmtId="3" fontId="2" fillId="3" borderId="15" xfId="0" applyNumberFormat="1" applyFont="1" applyFill="1" applyBorder="1" applyAlignment="1">
      <alignment horizontal="right" vertical="top" wrapText="1"/>
    </xf>
    <xf numFmtId="0" fontId="40" fillId="0" borderId="0" xfId="0" applyFont="1" applyAlignment="1">
      <alignment vertical="top"/>
    </xf>
    <xf numFmtId="10" fontId="0" fillId="0" borderId="0" xfId="0" applyNumberFormat="1" applyAlignment="1">
      <alignment vertical="top"/>
    </xf>
    <xf numFmtId="9" fontId="0" fillId="0" borderId="0" xfId="0" applyNumberFormat="1" applyAlignment="1">
      <alignment vertical="top"/>
    </xf>
    <xf numFmtId="3" fontId="0" fillId="0" borderId="16" xfId="0" applyNumberFormat="1" applyBorder="1" applyAlignment="1">
      <alignment vertical="top"/>
    </xf>
    <xf numFmtId="3" fontId="0" fillId="0" borderId="15" xfId="0" applyNumberFormat="1" applyBorder="1" applyAlignment="1">
      <alignment vertical="top"/>
    </xf>
    <xf numFmtId="0" fontId="33" fillId="7" borderId="0" xfId="0" applyFont="1" applyFill="1" applyAlignment="1">
      <alignment vertical="top"/>
    </xf>
    <xf numFmtId="0" fontId="33" fillId="7" borderId="63" xfId="0" applyFont="1" applyFill="1" applyBorder="1" applyAlignment="1">
      <alignment vertical="top"/>
    </xf>
    <xf numFmtId="3" fontId="33" fillId="7" borderId="0" xfId="0" applyNumberFormat="1" applyFont="1" applyFill="1" applyAlignment="1">
      <alignment vertical="top"/>
    </xf>
    <xf numFmtId="3" fontId="28" fillId="7" borderId="70" xfId="0" applyNumberFormat="1" applyFont="1" applyFill="1" applyBorder="1" applyAlignment="1">
      <alignment vertical="top"/>
    </xf>
    <xf numFmtId="0" fontId="28" fillId="7" borderId="75" xfId="0" applyFont="1" applyFill="1" applyBorder="1" applyAlignment="1">
      <alignment vertical="top"/>
    </xf>
    <xf numFmtId="3" fontId="29" fillId="7" borderId="69" xfId="0" applyNumberFormat="1" applyFont="1" applyFill="1" applyBorder="1" applyAlignment="1">
      <alignment vertical="top"/>
    </xf>
    <xf numFmtId="0" fontId="28" fillId="7" borderId="81" xfId="0" applyFont="1" applyFill="1" applyBorder="1" applyAlignment="1">
      <alignment vertical="top"/>
    </xf>
    <xf numFmtId="0" fontId="0" fillId="0" borderId="82" xfId="0" applyBorder="1" applyAlignment="1">
      <alignment vertical="top"/>
    </xf>
    <xf numFmtId="0" fontId="44" fillId="0" borderId="0" xfId="0" applyFont="1" applyAlignment="1">
      <alignment horizontal="left" vertical="top" wrapText="1"/>
    </xf>
    <xf numFmtId="0" fontId="0" fillId="0" borderId="11" xfId="0" applyBorder="1" applyAlignment="1">
      <alignment vertical="top"/>
    </xf>
    <xf numFmtId="3" fontId="33" fillId="7" borderId="79" xfId="0" applyNumberFormat="1" applyFont="1" applyFill="1" applyBorder="1" applyAlignment="1">
      <alignment vertical="top"/>
    </xf>
    <xf numFmtId="3" fontId="31" fillId="7" borderId="79" xfId="0" applyNumberFormat="1" applyFont="1" applyFill="1" applyBorder="1" applyAlignment="1">
      <alignment vertical="top"/>
    </xf>
    <xf numFmtId="0" fontId="33" fillId="7" borderId="8" xfId="0" applyFont="1" applyFill="1" applyBorder="1" applyAlignment="1">
      <alignment vertical="top"/>
    </xf>
    <xf numFmtId="3" fontId="31" fillId="7" borderId="8" xfId="0" applyNumberFormat="1" applyFont="1" applyFill="1" applyBorder="1" applyAlignment="1">
      <alignment vertical="top"/>
    </xf>
    <xf numFmtId="0" fontId="31" fillId="7" borderId="8" xfId="0" applyFont="1" applyFill="1" applyBorder="1" applyAlignment="1">
      <alignment vertical="top"/>
    </xf>
    <xf numFmtId="0" fontId="33" fillId="7" borderId="10" xfId="0" applyFont="1" applyFill="1" applyBorder="1" applyAlignment="1">
      <alignment vertical="top"/>
    </xf>
    <xf numFmtId="0" fontId="33" fillId="3" borderId="0" xfId="0" applyFont="1" applyFill="1" applyAlignment="1">
      <alignment vertical="top"/>
    </xf>
    <xf numFmtId="0" fontId="0" fillId="3" borderId="43" xfId="0" applyFill="1" applyBorder="1" applyAlignment="1">
      <alignment vertical="top"/>
    </xf>
    <xf numFmtId="3" fontId="31" fillId="7" borderId="44" xfId="0" applyNumberFormat="1" applyFont="1" applyFill="1" applyBorder="1" applyAlignment="1">
      <alignment vertical="top"/>
    </xf>
    <xf numFmtId="0" fontId="33" fillId="7" borderId="44" xfId="0" applyFont="1" applyFill="1" applyBorder="1" applyAlignment="1">
      <alignment vertical="top"/>
    </xf>
    <xf numFmtId="0" fontId="31" fillId="7" borderId="44" xfId="0" applyFont="1" applyFill="1" applyBorder="1" applyAlignment="1">
      <alignment vertical="top"/>
    </xf>
    <xf numFmtId="3" fontId="31" fillId="7" borderId="45" xfId="0" applyNumberFormat="1" applyFont="1" applyFill="1" applyBorder="1" applyAlignment="1">
      <alignment vertical="top"/>
    </xf>
    <xf numFmtId="3" fontId="31" fillId="7" borderId="41" xfId="0" applyNumberFormat="1" applyFont="1" applyFill="1" applyBorder="1" applyAlignment="1">
      <alignment vertical="top"/>
    </xf>
    <xf numFmtId="0" fontId="0" fillId="3" borderId="2" xfId="0" applyFill="1" applyBorder="1" applyAlignment="1">
      <alignment vertical="top"/>
    </xf>
    <xf numFmtId="0" fontId="31" fillId="10" borderId="28" xfId="0" applyFont="1" applyFill="1" applyBorder="1" applyAlignment="1">
      <alignment horizontal="center" vertical="top"/>
    </xf>
    <xf numFmtId="0" fontId="33" fillId="10" borderId="27" xfId="0" applyFont="1" applyFill="1" applyBorder="1" applyAlignment="1">
      <alignment horizontal="center" vertical="top"/>
    </xf>
    <xf numFmtId="0" fontId="33" fillId="10" borderId="27" xfId="0" applyFont="1" applyFill="1" applyBorder="1" applyAlignment="1">
      <alignment vertical="top"/>
    </xf>
    <xf numFmtId="0" fontId="0" fillId="3" borderId="27" xfId="0" applyFill="1" applyBorder="1" applyAlignment="1">
      <alignment vertical="top"/>
    </xf>
    <xf numFmtId="0" fontId="0" fillId="3" borderId="29" xfId="0" applyFill="1" applyBorder="1" applyAlignment="1">
      <alignment vertical="top"/>
    </xf>
    <xf numFmtId="0" fontId="30" fillId="3" borderId="43" xfId="0" applyFont="1" applyFill="1" applyBorder="1" applyAlignment="1">
      <alignment horizontal="left" vertical="top"/>
    </xf>
    <xf numFmtId="0" fontId="0" fillId="3" borderId="55" xfId="0" applyFill="1" applyBorder="1" applyAlignment="1">
      <alignment vertical="top"/>
    </xf>
    <xf numFmtId="3" fontId="33" fillId="7" borderId="87" xfId="0" applyNumberFormat="1" applyFont="1" applyFill="1" applyBorder="1" applyAlignment="1">
      <alignment vertical="top"/>
    </xf>
    <xf numFmtId="0" fontId="0" fillId="0" borderId="19" xfId="0" applyBorder="1" applyAlignment="1">
      <alignment vertical="top"/>
    </xf>
    <xf numFmtId="3" fontId="31" fillId="7" borderId="88" xfId="0" applyNumberFormat="1" applyFont="1" applyFill="1" applyBorder="1" applyAlignment="1">
      <alignment vertical="top"/>
    </xf>
    <xf numFmtId="0" fontId="31" fillId="7" borderId="78" xfId="0" applyFont="1" applyFill="1" applyBorder="1" applyAlignment="1">
      <alignment vertical="top"/>
    </xf>
    <xf numFmtId="3" fontId="29" fillId="7" borderId="88" xfId="0" applyNumberFormat="1" applyFont="1" applyFill="1" applyBorder="1" applyAlignment="1">
      <alignment vertical="top"/>
    </xf>
    <xf numFmtId="0" fontId="28" fillId="7" borderId="90" xfId="0" applyFont="1" applyFill="1" applyBorder="1" applyAlignment="1">
      <alignment vertical="top"/>
    </xf>
    <xf numFmtId="0" fontId="29" fillId="7" borderId="81" xfId="0" applyFont="1" applyFill="1" applyBorder="1" applyAlignment="1">
      <alignment vertical="top"/>
    </xf>
    <xf numFmtId="0" fontId="29" fillId="7" borderId="90" xfId="0" applyFont="1" applyFill="1" applyBorder="1" applyAlignment="1">
      <alignment vertical="top"/>
    </xf>
    <xf numFmtId="0" fontId="44" fillId="0" borderId="3" xfId="0" applyFont="1" applyBorder="1" applyAlignment="1">
      <alignment horizontal="left" vertical="top" wrapText="1"/>
    </xf>
    <xf numFmtId="0" fontId="45" fillId="0" borderId="3" xfId="0" applyFont="1" applyBorder="1" applyAlignment="1">
      <alignment horizontal="right" vertical="top" wrapText="1"/>
    </xf>
    <xf numFmtId="3" fontId="29" fillId="7" borderId="79" xfId="0" applyNumberFormat="1" applyFont="1" applyFill="1" applyBorder="1" applyAlignment="1">
      <alignment vertical="top"/>
    </xf>
    <xf numFmtId="0" fontId="0" fillId="3" borderId="45" xfId="0" applyFill="1" applyBorder="1" applyAlignment="1">
      <alignment vertical="top"/>
    </xf>
    <xf numFmtId="0" fontId="0" fillId="3" borderId="89" xfId="0" applyFill="1" applyBorder="1" applyAlignment="1">
      <alignment vertical="top"/>
    </xf>
    <xf numFmtId="0" fontId="0" fillId="3" borderId="11" xfId="0" applyFill="1" applyBorder="1" applyAlignment="1">
      <alignment vertical="top"/>
    </xf>
    <xf numFmtId="0" fontId="2" fillId="0" borderId="0" xfId="0" applyFont="1" applyAlignment="1">
      <alignment vertical="top"/>
    </xf>
    <xf numFmtId="0" fontId="31" fillId="6" borderId="84" xfId="0" applyFont="1" applyFill="1" applyBorder="1" applyAlignment="1">
      <alignment horizontal="center" vertical="top" wrapText="1"/>
    </xf>
    <xf numFmtId="0" fontId="46" fillId="3" borderId="55" xfId="0" applyFont="1" applyFill="1" applyBorder="1" applyAlignment="1">
      <alignment vertical="top"/>
    </xf>
    <xf numFmtId="0" fontId="46" fillId="3" borderId="0" xfId="0" applyFont="1" applyFill="1" applyAlignment="1">
      <alignment vertical="top"/>
    </xf>
    <xf numFmtId="0" fontId="46" fillId="3" borderId="56" xfId="0" applyFont="1" applyFill="1" applyBorder="1" applyAlignment="1">
      <alignment vertical="top"/>
    </xf>
    <xf numFmtId="0" fontId="46" fillId="3" borderId="27" xfId="0" applyFont="1" applyFill="1" applyBorder="1" applyAlignment="1">
      <alignment vertical="top"/>
    </xf>
    <xf numFmtId="3" fontId="47" fillId="0" borderId="3" xfId="0" applyNumberFormat="1" applyFont="1" applyBorder="1" applyAlignment="1">
      <alignment vertical="top"/>
    </xf>
    <xf numFmtId="0" fontId="47" fillId="0" borderId="3" xfId="0" applyFont="1" applyBorder="1" applyAlignment="1">
      <alignment vertical="top"/>
    </xf>
    <xf numFmtId="0" fontId="1" fillId="3" borderId="11" xfId="0" applyFont="1" applyFill="1" applyBorder="1" applyAlignment="1">
      <alignment horizontal="left" vertical="top"/>
    </xf>
    <xf numFmtId="0" fontId="1" fillId="3" borderId="20" xfId="0" applyFont="1" applyFill="1" applyBorder="1" applyAlignment="1">
      <alignment horizontal="left" vertical="top"/>
    </xf>
    <xf numFmtId="3" fontId="48" fillId="0" borderId="42" xfId="0" applyNumberFormat="1" applyFont="1" applyBorder="1" applyAlignment="1">
      <alignment vertical="top"/>
    </xf>
    <xf numFmtId="3" fontId="48" fillId="0" borderId="17" xfId="0" applyNumberFormat="1" applyFont="1" applyBorder="1" applyAlignment="1">
      <alignment vertical="top"/>
    </xf>
    <xf numFmtId="3" fontId="48" fillId="0" borderId="15" xfId="0" applyNumberFormat="1" applyFont="1" applyBorder="1" applyAlignment="1">
      <alignment vertical="top"/>
    </xf>
    <xf numFmtId="3" fontId="48" fillId="0" borderId="35" xfId="0" applyNumberFormat="1" applyFont="1" applyBorder="1" applyAlignment="1">
      <alignment vertical="top"/>
    </xf>
    <xf numFmtId="0" fontId="43" fillId="9" borderId="3" xfId="0" applyFont="1" applyFill="1" applyBorder="1" applyAlignment="1">
      <alignment horizontal="center" vertical="top" wrapText="1"/>
    </xf>
    <xf numFmtId="0" fontId="41" fillId="9" borderId="3" xfId="0" applyFont="1" applyFill="1" applyBorder="1" applyAlignment="1">
      <alignment horizontal="left" vertical="top" wrapText="1"/>
    </xf>
    <xf numFmtId="3" fontId="43" fillId="9" borderId="3" xfId="0" applyNumberFormat="1" applyFont="1" applyFill="1" applyBorder="1" applyAlignment="1">
      <alignment horizontal="right" vertical="top" wrapText="1"/>
    </xf>
    <xf numFmtId="9" fontId="43" fillId="9" borderId="3" xfId="0" applyNumberFormat="1" applyFont="1" applyFill="1" applyBorder="1" applyAlignment="1">
      <alignment horizontal="right" vertical="top" wrapText="1"/>
    </xf>
    <xf numFmtId="3" fontId="44" fillId="0" borderId="3" xfId="0" applyNumberFormat="1" applyFont="1" applyBorder="1" applyAlignment="1">
      <alignment horizontal="right" vertical="top" wrapText="1"/>
    </xf>
    <xf numFmtId="9" fontId="44" fillId="0" borderId="3" xfId="0" applyNumberFormat="1" applyFont="1" applyBorder="1" applyAlignment="1">
      <alignment horizontal="right" vertical="top" wrapText="1"/>
    </xf>
    <xf numFmtId="0" fontId="43" fillId="9" borderId="3" xfId="0" applyFont="1" applyFill="1" applyBorder="1" applyAlignment="1">
      <alignment horizontal="left" vertical="top" wrapText="1"/>
    </xf>
    <xf numFmtId="0" fontId="43" fillId="0" borderId="3" xfId="0" applyFont="1" applyBorder="1" applyAlignment="1">
      <alignment horizontal="left" vertical="top" wrapText="1"/>
    </xf>
    <xf numFmtId="3" fontId="43" fillId="0" borderId="3" xfId="0" applyNumberFormat="1" applyFont="1" applyBorder="1" applyAlignment="1">
      <alignment horizontal="right" vertical="top" wrapText="1"/>
    </xf>
    <xf numFmtId="3" fontId="43" fillId="0" borderId="3" xfId="0" applyNumberFormat="1" applyFont="1" applyBorder="1" applyAlignment="1">
      <alignment horizontal="left" vertical="top" wrapText="1"/>
    </xf>
    <xf numFmtId="3" fontId="44" fillId="0" borderId="0" xfId="0" applyNumberFormat="1" applyFont="1" applyAlignment="1">
      <alignment horizontal="right" vertical="top" wrapText="1"/>
    </xf>
    <xf numFmtId="3" fontId="44" fillId="0" borderId="0" xfId="0" applyNumberFormat="1" applyFont="1" applyAlignment="1">
      <alignment horizontal="left" vertical="top" wrapText="1"/>
    </xf>
    <xf numFmtId="14" fontId="43" fillId="9" borderId="3" xfId="0" applyNumberFormat="1" applyFont="1" applyFill="1" applyBorder="1" applyAlignment="1">
      <alignment horizontal="center" vertical="top" wrapText="1"/>
    </xf>
    <xf numFmtId="3" fontId="43" fillId="9" borderId="1" xfId="0" applyNumberFormat="1" applyFont="1" applyFill="1" applyBorder="1" applyAlignment="1">
      <alignment horizontal="center" vertical="top" wrapText="1"/>
    </xf>
    <xf numFmtId="0" fontId="43" fillId="9" borderId="1" xfId="0" applyFont="1" applyFill="1" applyBorder="1" applyAlignment="1">
      <alignment horizontal="center" vertical="top" wrapText="1"/>
    </xf>
    <xf numFmtId="0" fontId="3" fillId="0" borderId="0" xfId="0" applyFont="1" applyAlignment="1">
      <alignment vertical="top"/>
    </xf>
    <xf numFmtId="165" fontId="0" fillId="0" borderId="0" xfId="0" applyNumberFormat="1"/>
    <xf numFmtId="4" fontId="44" fillId="0" borderId="0" xfId="0" applyNumberFormat="1" applyFont="1" applyAlignment="1">
      <alignment horizontal="left" vertical="top" wrapText="1"/>
    </xf>
    <xf numFmtId="0" fontId="1" fillId="3" borderId="45" xfId="0" applyFont="1" applyFill="1" applyBorder="1" applyAlignment="1">
      <alignment vertical="top"/>
    </xf>
    <xf numFmtId="3" fontId="1" fillId="3" borderId="3" xfId="0" applyNumberFormat="1" applyFont="1" applyFill="1" applyBorder="1" applyAlignment="1">
      <alignment horizontal="center" vertical="top" wrapText="1"/>
    </xf>
    <xf numFmtId="0" fontId="1" fillId="3" borderId="3" xfId="0" applyFont="1" applyFill="1" applyBorder="1" applyAlignment="1">
      <alignment horizontal="center" vertical="top"/>
    </xf>
    <xf numFmtId="0" fontId="1" fillId="3" borderId="11" xfId="0" applyFont="1" applyFill="1" applyBorder="1" applyAlignment="1">
      <alignment vertical="top"/>
    </xf>
    <xf numFmtId="0" fontId="12" fillId="0" borderId="11" xfId="0" applyFont="1" applyBorder="1" applyAlignment="1">
      <alignment vertical="top"/>
    </xf>
    <xf numFmtId="0" fontId="1" fillId="3" borderId="45" xfId="0" applyFont="1" applyFill="1" applyBorder="1" applyAlignment="1">
      <alignment horizontal="left" vertical="top"/>
    </xf>
    <xf numFmtId="0" fontId="1" fillId="3" borderId="44" xfId="0" applyFont="1" applyFill="1" applyBorder="1" applyAlignment="1">
      <alignment horizontal="left" vertical="top"/>
    </xf>
    <xf numFmtId="0" fontId="9" fillId="3" borderId="3" xfId="0" applyFont="1" applyFill="1" applyBorder="1" applyAlignment="1">
      <alignment horizontal="left" vertical="top" wrapText="1"/>
    </xf>
    <xf numFmtId="0" fontId="10" fillId="3" borderId="3" xfId="0" applyFont="1" applyFill="1" applyBorder="1" applyAlignment="1">
      <alignment horizontal="left" vertical="top" wrapText="1"/>
    </xf>
    <xf numFmtId="0" fontId="1" fillId="3" borderId="3" xfId="0" applyFont="1" applyFill="1" applyBorder="1" applyAlignment="1">
      <alignment horizontal="left" vertical="top" wrapText="1"/>
    </xf>
    <xf numFmtId="3" fontId="22" fillId="0" borderId="3" xfId="0" applyNumberFormat="1" applyFont="1" applyBorder="1" applyAlignment="1">
      <alignment vertical="top"/>
    </xf>
    <xf numFmtId="3" fontId="21" fillId="0" borderId="3" xfId="0" applyNumberFormat="1" applyFont="1" applyBorder="1" applyAlignment="1">
      <alignment vertical="top"/>
    </xf>
    <xf numFmtId="0" fontId="0" fillId="3" borderId="11" xfId="0" applyFill="1" applyBorder="1" applyAlignment="1">
      <alignment horizontal="center" vertical="top" wrapText="1"/>
    </xf>
    <xf numFmtId="0" fontId="11" fillId="0" borderId="0" xfId="0" applyFont="1" applyAlignment="1">
      <alignment vertical="top"/>
    </xf>
    <xf numFmtId="0" fontId="19" fillId="0" borderId="0" xfId="0" applyFont="1" applyAlignment="1">
      <alignment vertical="top"/>
    </xf>
    <xf numFmtId="3" fontId="20" fillId="0" borderId="32" xfId="0" applyNumberFormat="1" applyFont="1" applyBorder="1" applyAlignment="1">
      <alignment vertical="top"/>
    </xf>
    <xf numFmtId="3" fontId="20" fillId="0" borderId="76" xfId="0" applyNumberFormat="1" applyFont="1" applyBorder="1" applyAlignment="1">
      <alignment vertical="top"/>
    </xf>
    <xf numFmtId="3" fontId="20" fillId="0" borderId="57" xfId="0" applyNumberFormat="1" applyFont="1" applyBorder="1" applyAlignment="1">
      <alignment vertical="top"/>
    </xf>
    <xf numFmtId="3" fontId="20" fillId="0" borderId="42" xfId="0" applyNumberFormat="1" applyFont="1" applyBorder="1" applyAlignment="1">
      <alignment vertical="top"/>
    </xf>
    <xf numFmtId="3" fontId="20" fillId="0" borderId="74" xfId="0" applyNumberFormat="1" applyFont="1" applyBorder="1" applyAlignment="1">
      <alignment vertical="top"/>
    </xf>
    <xf numFmtId="0" fontId="2" fillId="0" borderId="42" xfId="0" applyFont="1" applyBorder="1" applyAlignment="1">
      <alignment vertical="top"/>
    </xf>
    <xf numFmtId="0" fontId="2" fillId="0" borderId="37" xfId="0" applyFont="1" applyBorder="1" applyAlignment="1">
      <alignment vertical="top"/>
    </xf>
    <xf numFmtId="0" fontId="2" fillId="0" borderId="35" xfId="0" applyFont="1" applyBorder="1" applyAlignment="1">
      <alignment vertical="top"/>
    </xf>
    <xf numFmtId="3" fontId="0" fillId="0" borderId="18" xfId="0" applyNumberFormat="1" applyBorder="1" applyAlignment="1">
      <alignment vertical="top"/>
    </xf>
    <xf numFmtId="0" fontId="17" fillId="0" borderId="0" xfId="0" applyFont="1" applyAlignment="1">
      <alignment vertical="top"/>
    </xf>
    <xf numFmtId="3" fontId="0" fillId="0" borderId="4" xfId="0" applyNumberFormat="1" applyBorder="1" applyAlignment="1">
      <alignment vertical="top"/>
    </xf>
    <xf numFmtId="3" fontId="0" fillId="0" borderId="5" xfId="0" applyNumberFormat="1" applyBorder="1" applyAlignment="1">
      <alignment vertical="top"/>
    </xf>
    <xf numFmtId="3" fontId="0" fillId="0" borderId="6" xfId="0" applyNumberFormat="1"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4" xfId="0" applyBorder="1" applyAlignment="1">
      <alignment vertical="top"/>
    </xf>
    <xf numFmtId="0" fontId="0" fillId="0" borderId="0" xfId="0" quotePrefix="1" applyAlignment="1">
      <alignment vertical="top"/>
    </xf>
    <xf numFmtId="3" fontId="0" fillId="0" borderId="0" xfId="0" applyNumberFormat="1" applyAlignment="1">
      <alignment vertical="top"/>
    </xf>
    <xf numFmtId="3" fontId="16" fillId="0" borderId="77" xfId="0" applyNumberFormat="1" applyFont="1" applyBorder="1" applyAlignment="1">
      <alignment vertical="top"/>
    </xf>
    <xf numFmtId="0" fontId="17" fillId="4" borderId="25" xfId="0" applyFont="1" applyFill="1" applyBorder="1" applyAlignment="1">
      <alignment horizontal="center" vertical="top"/>
    </xf>
    <xf numFmtId="0" fontId="17" fillId="4" borderId="10" xfId="0" applyFont="1" applyFill="1" applyBorder="1" applyAlignment="1">
      <alignment horizontal="center" vertical="top"/>
    </xf>
    <xf numFmtId="0" fontId="17" fillId="4" borderId="8" xfId="0" applyFont="1" applyFill="1" applyBorder="1" applyAlignment="1">
      <alignment horizontal="center" vertical="top"/>
    </xf>
    <xf numFmtId="0" fontId="17" fillId="4" borderId="7" xfId="0" applyFont="1" applyFill="1" applyBorder="1" applyAlignment="1">
      <alignment horizontal="center" vertical="top"/>
    </xf>
    <xf numFmtId="0" fontId="19" fillId="11" borderId="31" xfId="0" applyFont="1" applyFill="1" applyBorder="1" applyAlignment="1" applyProtection="1">
      <alignment horizontal="left" vertical="top"/>
      <protection locked="0"/>
    </xf>
    <xf numFmtId="0" fontId="15" fillId="11" borderId="1" xfId="0" applyFont="1" applyFill="1" applyBorder="1" applyAlignment="1" applyProtection="1">
      <alignment horizontal="left" vertical="top" wrapText="1"/>
      <protection locked="0"/>
    </xf>
    <xf numFmtId="0" fontId="19" fillId="11" borderId="1" xfId="0" applyFont="1" applyFill="1" applyBorder="1" applyAlignment="1" applyProtection="1">
      <alignment horizontal="left" vertical="top" wrapText="1"/>
      <protection locked="0"/>
    </xf>
    <xf numFmtId="0" fontId="19" fillId="11" borderId="1" xfId="0" applyFont="1" applyFill="1" applyBorder="1" applyAlignment="1" applyProtection="1">
      <alignment horizontal="left" vertical="top"/>
      <protection locked="0"/>
    </xf>
    <xf numFmtId="0" fontId="19" fillId="11" borderId="3" xfId="0" applyFont="1" applyFill="1" applyBorder="1" applyAlignment="1" applyProtection="1">
      <alignment horizontal="left" vertical="top"/>
      <protection locked="0"/>
    </xf>
    <xf numFmtId="0" fontId="19" fillId="11" borderId="3" xfId="0" applyFont="1" applyFill="1" applyBorder="1" applyAlignment="1" applyProtection="1">
      <alignment horizontal="left" vertical="top" wrapText="1"/>
      <protection locked="0"/>
    </xf>
    <xf numFmtId="0" fontId="15" fillId="11" borderId="3" xfId="0" applyFont="1" applyFill="1" applyBorder="1" applyAlignment="1" applyProtection="1">
      <alignment horizontal="left" vertical="top" wrapText="1"/>
      <protection locked="0"/>
    </xf>
    <xf numFmtId="0" fontId="23" fillId="11" borderId="3" xfId="1" applyFill="1" applyBorder="1" applyAlignment="1" applyProtection="1">
      <alignment horizontal="left" vertical="top" wrapText="1"/>
      <protection locked="0"/>
    </xf>
    <xf numFmtId="0" fontId="15" fillId="11" borderId="46" xfId="0" applyFont="1" applyFill="1" applyBorder="1" applyAlignment="1" applyProtection="1">
      <alignment horizontal="left" vertical="top" wrapText="1"/>
      <protection locked="0"/>
    </xf>
    <xf numFmtId="0" fontId="19" fillId="11" borderId="46" xfId="0" applyFont="1" applyFill="1" applyBorder="1" applyAlignment="1" applyProtection="1">
      <alignment horizontal="left" vertical="top" wrapText="1"/>
      <protection locked="0"/>
    </xf>
    <xf numFmtId="0" fontId="19" fillId="11" borderId="46" xfId="0" applyFont="1" applyFill="1" applyBorder="1" applyAlignment="1" applyProtection="1">
      <alignment horizontal="left" vertical="top"/>
      <protection locked="0"/>
    </xf>
    <xf numFmtId="0" fontId="19" fillId="11" borderId="21" xfId="0" applyFont="1" applyFill="1" applyBorder="1" applyAlignment="1" applyProtection="1">
      <alignment horizontal="left" vertical="top"/>
      <protection locked="0"/>
    </xf>
    <xf numFmtId="0" fontId="15" fillId="11" borderId="21" xfId="0" applyFont="1" applyFill="1" applyBorder="1" applyAlignment="1" applyProtection="1">
      <alignment horizontal="left" vertical="top" wrapText="1"/>
      <protection locked="0"/>
    </xf>
    <xf numFmtId="0" fontId="23" fillId="11" borderId="21" xfId="1" applyFill="1" applyBorder="1" applyAlignment="1" applyProtection="1">
      <alignment horizontal="left" vertical="top" wrapText="1"/>
      <protection locked="0"/>
    </xf>
    <xf numFmtId="3" fontId="20" fillId="11" borderId="39" xfId="0" applyNumberFormat="1" applyFont="1" applyFill="1" applyBorder="1" applyAlignment="1" applyProtection="1">
      <alignment vertical="top"/>
      <protection locked="0"/>
    </xf>
    <xf numFmtId="3" fontId="20" fillId="11" borderId="2" xfId="0" applyNumberFormat="1" applyFont="1" applyFill="1" applyBorder="1" applyAlignment="1" applyProtection="1">
      <alignment vertical="top"/>
      <protection locked="0"/>
    </xf>
    <xf numFmtId="3" fontId="20" fillId="11" borderId="14" xfId="0" applyNumberFormat="1" applyFont="1" applyFill="1" applyBorder="1" applyAlignment="1" applyProtection="1">
      <alignment vertical="top"/>
      <protection locked="0"/>
    </xf>
    <xf numFmtId="3" fontId="20" fillId="11" borderId="22" xfId="0" applyNumberFormat="1" applyFont="1" applyFill="1" applyBorder="1" applyAlignment="1" applyProtection="1">
      <alignment vertical="top"/>
      <protection locked="0"/>
    </xf>
    <xf numFmtId="3" fontId="20" fillId="11" borderId="31" xfId="0" applyNumberFormat="1" applyFont="1" applyFill="1" applyBorder="1" applyAlignment="1" applyProtection="1">
      <alignment vertical="top"/>
      <protection locked="0"/>
    </xf>
    <xf numFmtId="3" fontId="20" fillId="11" borderId="1" xfId="0" applyNumberFormat="1" applyFont="1" applyFill="1" applyBorder="1" applyAlignment="1" applyProtection="1">
      <alignment vertical="top"/>
      <protection locked="0"/>
    </xf>
    <xf numFmtId="0" fontId="19" fillId="11" borderId="22" xfId="0" applyFont="1" applyFill="1" applyBorder="1" applyAlignment="1" applyProtection="1">
      <alignment vertical="top"/>
      <protection locked="0"/>
    </xf>
    <xf numFmtId="0" fontId="19" fillId="11" borderId="40" xfId="0" applyFont="1" applyFill="1" applyBorder="1" applyAlignment="1" applyProtection="1">
      <alignment vertical="top" wrapText="1"/>
      <protection locked="0"/>
    </xf>
    <xf numFmtId="0" fontId="2" fillId="11" borderId="3" xfId="0" applyFont="1" applyFill="1" applyBorder="1" applyAlignment="1" applyProtection="1">
      <alignment vertical="top"/>
      <protection locked="0"/>
    </xf>
    <xf numFmtId="3" fontId="20" fillId="11" borderId="13" xfId="0" applyNumberFormat="1" applyFont="1" applyFill="1" applyBorder="1" applyAlignment="1" applyProtection="1">
      <alignment vertical="top"/>
      <protection locked="0"/>
    </xf>
    <xf numFmtId="3" fontId="20" fillId="11" borderId="3" xfId="0" applyNumberFormat="1" applyFont="1" applyFill="1" applyBorder="1" applyAlignment="1" applyProtection="1">
      <alignment vertical="top"/>
      <protection locked="0"/>
    </xf>
    <xf numFmtId="3" fontId="20" fillId="11" borderId="12" xfId="0" applyNumberFormat="1" applyFont="1" applyFill="1" applyBorder="1" applyAlignment="1" applyProtection="1">
      <alignment vertical="top"/>
      <protection locked="0"/>
    </xf>
    <xf numFmtId="4" fontId="20" fillId="11" borderId="2" xfId="0" applyNumberFormat="1" applyFont="1" applyFill="1" applyBorder="1" applyAlignment="1" applyProtection="1">
      <alignment vertical="top"/>
      <protection locked="0"/>
    </xf>
    <xf numFmtId="3" fontId="20" fillId="11" borderId="26" xfId="0" applyNumberFormat="1" applyFont="1" applyFill="1" applyBorder="1" applyAlignment="1" applyProtection="1">
      <alignment vertical="top"/>
      <protection locked="0"/>
    </xf>
    <xf numFmtId="3" fontId="20" fillId="11" borderId="11" xfId="0" applyNumberFormat="1" applyFont="1" applyFill="1" applyBorder="1" applyAlignment="1" applyProtection="1">
      <alignment vertical="top"/>
      <protection locked="0"/>
    </xf>
    <xf numFmtId="3" fontId="20" fillId="11" borderId="20" xfId="0" applyNumberFormat="1" applyFont="1" applyFill="1" applyBorder="1" applyAlignment="1" applyProtection="1">
      <alignment vertical="top"/>
      <protection locked="0"/>
    </xf>
    <xf numFmtId="0" fontId="19" fillId="11" borderId="20" xfId="0" applyFont="1" applyFill="1" applyBorder="1" applyAlignment="1" applyProtection="1">
      <alignment vertical="top"/>
      <protection locked="0"/>
    </xf>
    <xf numFmtId="3" fontId="18" fillId="11" borderId="13" xfId="0" applyNumberFormat="1" applyFont="1" applyFill="1" applyBorder="1" applyAlignment="1" applyProtection="1">
      <alignment horizontal="right" vertical="top"/>
      <protection locked="0"/>
    </xf>
    <xf numFmtId="3" fontId="18" fillId="11" borderId="3" xfId="0" applyNumberFormat="1" applyFont="1" applyFill="1" applyBorder="1" applyAlignment="1" applyProtection="1">
      <alignment horizontal="right" vertical="top"/>
      <protection locked="0"/>
    </xf>
    <xf numFmtId="3" fontId="18" fillId="11" borderId="12" xfId="0" applyNumberFormat="1" applyFont="1" applyFill="1" applyBorder="1" applyAlignment="1" applyProtection="1">
      <alignment horizontal="right" vertical="top"/>
      <protection locked="0"/>
    </xf>
    <xf numFmtId="3" fontId="18" fillId="11" borderId="11" xfId="0" applyNumberFormat="1" applyFont="1" applyFill="1" applyBorder="1" applyAlignment="1" applyProtection="1">
      <alignment horizontal="right" vertical="top"/>
      <protection locked="0"/>
    </xf>
    <xf numFmtId="3" fontId="20" fillId="11" borderId="50" xfId="0" applyNumberFormat="1" applyFont="1" applyFill="1" applyBorder="1" applyAlignment="1" applyProtection="1">
      <alignment vertical="top"/>
      <protection locked="0"/>
    </xf>
    <xf numFmtId="3" fontId="20" fillId="11" borderId="45" xfId="0" applyNumberFormat="1" applyFont="1" applyFill="1" applyBorder="1" applyAlignment="1" applyProtection="1">
      <alignment vertical="top"/>
      <protection locked="0"/>
    </xf>
    <xf numFmtId="3" fontId="20" fillId="11" borderId="48" xfId="0" applyNumberFormat="1" applyFont="1" applyFill="1" applyBorder="1" applyAlignment="1" applyProtection="1">
      <alignment vertical="top"/>
      <protection locked="0"/>
    </xf>
    <xf numFmtId="3" fontId="20" fillId="11" borderId="44" xfId="0" applyNumberFormat="1" applyFont="1" applyFill="1" applyBorder="1" applyAlignment="1" applyProtection="1">
      <alignment vertical="top"/>
      <protection locked="0"/>
    </xf>
    <xf numFmtId="3" fontId="18" fillId="11" borderId="50" xfId="0" applyNumberFormat="1" applyFont="1" applyFill="1" applyBorder="1" applyAlignment="1" applyProtection="1">
      <alignment horizontal="right" vertical="top"/>
      <protection locked="0"/>
    </xf>
    <xf numFmtId="3" fontId="18" fillId="11" borderId="45" xfId="0" applyNumberFormat="1" applyFont="1" applyFill="1" applyBorder="1" applyAlignment="1" applyProtection="1">
      <alignment horizontal="right" vertical="top"/>
      <protection locked="0"/>
    </xf>
    <xf numFmtId="3" fontId="18" fillId="11" borderId="48" xfId="0" applyNumberFormat="1" applyFont="1" applyFill="1" applyBorder="1" applyAlignment="1" applyProtection="1">
      <alignment horizontal="right" vertical="top"/>
      <protection locked="0"/>
    </xf>
    <xf numFmtId="0" fontId="19" fillId="11" borderId="44" xfId="0" applyFont="1" applyFill="1" applyBorder="1" applyAlignment="1" applyProtection="1">
      <alignment vertical="top"/>
      <protection locked="0"/>
    </xf>
    <xf numFmtId="0" fontId="19" fillId="11" borderId="47" xfId="0" applyFont="1" applyFill="1" applyBorder="1" applyAlignment="1" applyProtection="1">
      <alignment vertical="top" wrapText="1"/>
      <protection locked="0"/>
    </xf>
    <xf numFmtId="3" fontId="0" fillId="11" borderId="16" xfId="0" applyNumberFormat="1" applyFill="1" applyBorder="1" applyAlignment="1" applyProtection="1">
      <alignment horizontal="right" vertical="top" wrapText="1"/>
      <protection locked="0"/>
    </xf>
    <xf numFmtId="3" fontId="0" fillId="11" borderId="17" xfId="0" applyNumberFormat="1" applyFill="1" applyBorder="1" applyAlignment="1" applyProtection="1">
      <alignment horizontal="right" vertical="top" wrapText="1"/>
      <protection locked="0"/>
    </xf>
    <xf numFmtId="3" fontId="0" fillId="11" borderId="35" xfId="0" applyNumberFormat="1" applyFill="1" applyBorder="1" applyAlignment="1" applyProtection="1">
      <alignment horizontal="left" vertical="top" wrapText="1"/>
      <protection locked="0"/>
    </xf>
    <xf numFmtId="3" fontId="16" fillId="12" borderId="14" xfId="0" applyNumberFormat="1" applyFont="1" applyFill="1" applyBorder="1" applyAlignment="1">
      <alignment vertical="top"/>
    </xf>
    <xf numFmtId="3" fontId="20" fillId="12" borderId="31" xfId="0" applyNumberFormat="1" applyFont="1" applyFill="1" applyBorder="1" applyAlignment="1">
      <alignment vertical="top"/>
    </xf>
    <xf numFmtId="3" fontId="48" fillId="12" borderId="1" xfId="0" applyNumberFormat="1" applyFont="1" applyFill="1" applyBorder="1" applyAlignment="1">
      <alignment vertical="top"/>
    </xf>
    <xf numFmtId="3" fontId="48" fillId="12" borderId="22" xfId="0" applyNumberFormat="1" applyFont="1" applyFill="1" applyBorder="1" applyAlignment="1">
      <alignment vertical="top"/>
    </xf>
    <xf numFmtId="3" fontId="48" fillId="12" borderId="2" xfId="0" applyNumberFormat="1" applyFont="1" applyFill="1" applyBorder="1" applyAlignment="1">
      <alignment vertical="top"/>
    </xf>
    <xf numFmtId="3" fontId="48" fillId="12" borderId="39" xfId="0" applyNumberFormat="1" applyFont="1" applyFill="1" applyBorder="1" applyAlignment="1">
      <alignment vertical="top"/>
    </xf>
    <xf numFmtId="3" fontId="48" fillId="12" borderId="14" xfId="0" applyNumberFormat="1" applyFont="1" applyFill="1" applyBorder="1" applyAlignment="1">
      <alignment vertical="top"/>
    </xf>
    <xf numFmtId="0" fontId="19" fillId="12" borderId="40" xfId="0" applyFont="1" applyFill="1" applyBorder="1" applyAlignment="1">
      <alignment vertical="top" wrapText="1"/>
    </xf>
    <xf numFmtId="3" fontId="20" fillId="12" borderId="5" xfId="0" applyNumberFormat="1" applyFont="1" applyFill="1" applyBorder="1" applyAlignment="1">
      <alignment vertical="top"/>
    </xf>
    <xf numFmtId="3" fontId="20" fillId="12" borderId="4" xfId="0" applyNumberFormat="1" applyFont="1" applyFill="1" applyBorder="1" applyAlignment="1">
      <alignment vertical="top"/>
    </xf>
    <xf numFmtId="3" fontId="20" fillId="12" borderId="54" xfId="0" applyNumberFormat="1" applyFont="1" applyFill="1" applyBorder="1" applyAlignment="1">
      <alignment vertical="top"/>
    </xf>
    <xf numFmtId="3" fontId="20" fillId="12" borderId="1" xfId="0" applyNumberFormat="1" applyFont="1" applyFill="1" applyBorder="1" applyAlignment="1">
      <alignment vertical="top"/>
    </xf>
    <xf numFmtId="3" fontId="20" fillId="12" borderId="3" xfId="0" applyNumberFormat="1" applyFont="1" applyFill="1" applyBorder="1" applyAlignment="1">
      <alignment vertical="top"/>
    </xf>
    <xf numFmtId="3" fontId="20" fillId="12" borderId="38" xfId="0" applyNumberFormat="1" applyFont="1" applyFill="1" applyBorder="1" applyAlignment="1">
      <alignment vertical="top"/>
    </xf>
    <xf numFmtId="3" fontId="2" fillId="12" borderId="16" xfId="0" applyNumberFormat="1" applyFont="1" applyFill="1" applyBorder="1" applyAlignment="1">
      <alignment horizontal="right" vertical="top" wrapText="1"/>
    </xf>
    <xf numFmtId="0" fontId="19" fillId="12" borderId="31" xfId="0" applyFont="1" applyFill="1" applyBorder="1" applyAlignment="1">
      <alignment horizontal="left" vertical="top"/>
    </xf>
    <xf numFmtId="0" fontId="15" fillId="12" borderId="1" xfId="0" applyFont="1" applyFill="1" applyBorder="1" applyAlignment="1">
      <alignment horizontal="left" vertical="top" wrapText="1"/>
    </xf>
    <xf numFmtId="0" fontId="19" fillId="12" borderId="1" xfId="0" applyFont="1" applyFill="1" applyBorder="1" applyAlignment="1">
      <alignment horizontal="left" vertical="top" wrapText="1"/>
    </xf>
    <xf numFmtId="0" fontId="19" fillId="12" borderId="1" xfId="0" applyFont="1" applyFill="1" applyBorder="1" applyAlignment="1">
      <alignment horizontal="left" vertical="top"/>
    </xf>
    <xf numFmtId="0" fontId="19" fillId="12" borderId="39" xfId="0" applyFont="1" applyFill="1" applyBorder="1" applyAlignment="1">
      <alignment vertical="top" wrapText="1"/>
    </xf>
    <xf numFmtId="0" fontId="19" fillId="12" borderId="36" xfId="0" applyFont="1" applyFill="1" applyBorder="1" applyAlignment="1">
      <alignment vertical="top" wrapText="1"/>
    </xf>
    <xf numFmtId="0" fontId="19" fillId="12" borderId="3" xfId="0" applyFont="1" applyFill="1" applyBorder="1" applyAlignment="1">
      <alignment horizontal="left" vertical="top"/>
    </xf>
    <xf numFmtId="0" fontId="19" fillId="12" borderId="3" xfId="0" applyFont="1" applyFill="1" applyBorder="1" applyAlignment="1">
      <alignment horizontal="left" vertical="top" wrapText="1"/>
    </xf>
    <xf numFmtId="0" fontId="15" fillId="12" borderId="3" xfId="0" applyFont="1" applyFill="1" applyBorder="1" applyAlignment="1">
      <alignment horizontal="left" vertical="top" wrapText="1"/>
    </xf>
    <xf numFmtId="3" fontId="20" fillId="12" borderId="12" xfId="0" applyNumberFormat="1" applyFont="1" applyFill="1" applyBorder="1" applyAlignment="1">
      <alignment vertical="top"/>
    </xf>
    <xf numFmtId="3" fontId="48" fillId="12" borderId="20" xfId="0" applyNumberFormat="1" applyFont="1" applyFill="1" applyBorder="1" applyAlignment="1">
      <alignment vertical="top"/>
    </xf>
    <xf numFmtId="3" fontId="48" fillId="12" borderId="11" xfId="0" applyNumberFormat="1" applyFont="1" applyFill="1" applyBorder="1" applyAlignment="1">
      <alignment vertical="top"/>
    </xf>
    <xf numFmtId="3" fontId="48" fillId="12" borderId="26" xfId="0" applyNumberFormat="1" applyFont="1" applyFill="1" applyBorder="1" applyAlignment="1">
      <alignment vertical="top"/>
    </xf>
    <xf numFmtId="3" fontId="48" fillId="12" borderId="12" xfId="0" applyNumberFormat="1" applyFont="1" applyFill="1" applyBorder="1" applyAlignment="1">
      <alignment vertical="top"/>
    </xf>
    <xf numFmtId="3" fontId="49" fillId="12" borderId="13" xfId="0" applyNumberFormat="1" applyFont="1" applyFill="1" applyBorder="1" applyAlignment="1">
      <alignment horizontal="right" vertical="top"/>
    </xf>
    <xf numFmtId="3" fontId="49" fillId="12" borderId="3" xfId="0" applyNumberFormat="1" applyFont="1" applyFill="1" applyBorder="1" applyAlignment="1">
      <alignment horizontal="right" vertical="top"/>
    </xf>
    <xf numFmtId="3" fontId="49" fillId="12" borderId="12" xfId="0" applyNumberFormat="1" applyFont="1" applyFill="1" applyBorder="1" applyAlignment="1">
      <alignment horizontal="right" vertical="top"/>
    </xf>
    <xf numFmtId="0" fontId="2" fillId="12" borderId="39" xfId="0" applyFont="1" applyFill="1" applyBorder="1" applyAlignment="1">
      <alignment vertical="top" wrapText="1"/>
    </xf>
    <xf numFmtId="0" fontId="2" fillId="12" borderId="40" xfId="0" applyFont="1" applyFill="1" applyBorder="1" applyAlignment="1">
      <alignment vertical="top" wrapText="1"/>
    </xf>
    <xf numFmtId="0" fontId="19" fillId="12" borderId="49" xfId="0" applyFont="1" applyFill="1" applyBorder="1" applyAlignment="1">
      <alignment horizontal="left" vertical="top"/>
    </xf>
    <xf numFmtId="0" fontId="15" fillId="12" borderId="46" xfId="0" applyFont="1" applyFill="1" applyBorder="1" applyAlignment="1">
      <alignment horizontal="left" vertical="top" wrapText="1"/>
    </xf>
    <xf numFmtId="0" fontId="19" fillId="12" borderId="46" xfId="0" applyFont="1" applyFill="1" applyBorder="1" applyAlignment="1">
      <alignment horizontal="left" vertical="top" wrapText="1"/>
    </xf>
    <xf numFmtId="0" fontId="19" fillId="12" borderId="46" xfId="0" applyFont="1" applyFill="1" applyBorder="1" applyAlignment="1">
      <alignment horizontal="left" vertical="top"/>
    </xf>
    <xf numFmtId="0" fontId="19" fillId="12" borderId="21" xfId="0" applyFont="1" applyFill="1" applyBorder="1" applyAlignment="1">
      <alignment horizontal="left" vertical="top"/>
    </xf>
    <xf numFmtId="0" fontId="15" fillId="12" borderId="21" xfId="0" applyFont="1" applyFill="1" applyBorder="1" applyAlignment="1">
      <alignment horizontal="left" vertical="top" wrapText="1"/>
    </xf>
    <xf numFmtId="3" fontId="49" fillId="12" borderId="50" xfId="0" applyNumberFormat="1" applyFont="1" applyFill="1" applyBorder="1" applyAlignment="1">
      <alignment horizontal="right" vertical="top"/>
    </xf>
    <xf numFmtId="3" fontId="49" fillId="12" borderId="45" xfId="0" applyNumberFormat="1" applyFont="1" applyFill="1" applyBorder="1" applyAlignment="1">
      <alignment horizontal="right" vertical="top"/>
    </xf>
    <xf numFmtId="3" fontId="49" fillId="12" borderId="48" xfId="0" applyNumberFormat="1" applyFont="1" applyFill="1" applyBorder="1" applyAlignment="1">
      <alignment horizontal="right" vertical="top"/>
    </xf>
    <xf numFmtId="0" fontId="19" fillId="12" borderId="47" xfId="0" applyFont="1" applyFill="1" applyBorder="1" applyAlignment="1">
      <alignment vertical="top" wrapText="1"/>
    </xf>
    <xf numFmtId="0" fontId="19" fillId="12" borderId="51" xfId="0" applyFont="1" applyFill="1" applyBorder="1" applyAlignment="1">
      <alignment vertical="top" wrapText="1"/>
    </xf>
    <xf numFmtId="3" fontId="0" fillId="12" borderId="35" xfId="0" applyNumberFormat="1" applyFill="1" applyBorder="1" applyAlignment="1">
      <alignment horizontal="left" vertical="top" wrapText="1"/>
    </xf>
    <xf numFmtId="0" fontId="0" fillId="11" borderId="3" xfId="0" applyFill="1" applyBorder="1" applyAlignment="1" applyProtection="1">
      <alignment vertical="top" wrapText="1"/>
      <protection locked="0"/>
    </xf>
    <xf numFmtId="0" fontId="19" fillId="12" borderId="1" xfId="1" applyFont="1" applyFill="1" applyBorder="1" applyAlignment="1">
      <alignment horizontal="left" vertical="top" wrapText="1"/>
    </xf>
    <xf numFmtId="0" fontId="19" fillId="12" borderId="31" xfId="0" applyFont="1" applyFill="1" applyBorder="1" applyAlignment="1">
      <alignment horizontal="left" vertical="top" wrapText="1"/>
    </xf>
    <xf numFmtId="0" fontId="19" fillId="12" borderId="3" xfId="1" applyFont="1" applyFill="1" applyBorder="1" applyAlignment="1">
      <alignment horizontal="left" vertical="top" wrapText="1"/>
    </xf>
    <xf numFmtId="0" fontId="19" fillId="12" borderId="0" xfId="0" applyFont="1" applyFill="1" applyAlignment="1">
      <alignment vertical="top" wrapText="1"/>
    </xf>
    <xf numFmtId="0" fontId="19" fillId="12" borderId="21" xfId="1" applyFont="1" applyFill="1" applyBorder="1" applyAlignment="1">
      <alignment horizontal="left" vertical="top" wrapText="1"/>
    </xf>
    <xf numFmtId="0" fontId="3" fillId="3" borderId="11" xfId="0" applyFont="1" applyFill="1" applyBorder="1" applyAlignment="1">
      <alignment horizontal="left" vertical="top"/>
    </xf>
    <xf numFmtId="0" fontId="1" fillId="3" borderId="0" xfId="0" applyFont="1" applyFill="1" applyAlignment="1">
      <alignment horizontal="left" vertical="top"/>
    </xf>
    <xf numFmtId="3" fontId="48" fillId="12" borderId="5" xfId="0" applyNumberFormat="1" applyFont="1" applyFill="1" applyBorder="1" applyAlignment="1">
      <alignment vertical="top"/>
    </xf>
    <xf numFmtId="3" fontId="48" fillId="0" borderId="76" xfId="0" applyNumberFormat="1" applyFont="1" applyBorder="1" applyAlignment="1">
      <alignment vertical="top"/>
    </xf>
    <xf numFmtId="3" fontId="48" fillId="12" borderId="68" xfId="0" applyNumberFormat="1" applyFont="1" applyFill="1" applyBorder="1" applyAlignment="1">
      <alignment vertical="top"/>
    </xf>
    <xf numFmtId="3" fontId="48" fillId="0" borderId="56" xfId="0" applyNumberFormat="1" applyFont="1" applyBorder="1" applyAlignment="1">
      <alignment vertical="top"/>
    </xf>
    <xf numFmtId="3" fontId="49" fillId="12" borderId="19" xfId="0" applyNumberFormat="1" applyFont="1" applyFill="1" applyBorder="1" applyAlignment="1">
      <alignment horizontal="right" vertical="top"/>
    </xf>
    <xf numFmtId="3" fontId="49" fillId="12" borderId="44" xfId="0" applyNumberFormat="1" applyFont="1" applyFill="1" applyBorder="1" applyAlignment="1">
      <alignment horizontal="right" vertical="top"/>
    </xf>
    <xf numFmtId="164" fontId="0" fillId="4" borderId="92" xfId="0" applyNumberFormat="1" applyFill="1" applyBorder="1" applyAlignment="1">
      <alignment horizontal="center" vertical="top" wrapText="1"/>
    </xf>
    <xf numFmtId="164" fontId="0" fillId="4" borderId="93" xfId="0" applyNumberFormat="1" applyFill="1" applyBorder="1" applyAlignment="1">
      <alignment horizontal="center" vertical="top" wrapText="1"/>
    </xf>
    <xf numFmtId="164" fontId="0" fillId="4" borderId="91" xfId="0" applyNumberFormat="1" applyFill="1" applyBorder="1" applyAlignment="1">
      <alignment horizontal="center" vertical="top" wrapText="1"/>
    </xf>
    <xf numFmtId="164" fontId="0" fillId="4" borderId="81" xfId="0" applyNumberFormat="1" applyFill="1" applyBorder="1" applyAlignment="1">
      <alignment horizontal="center" vertical="top" wrapText="1"/>
    </xf>
    <xf numFmtId="164" fontId="0" fillId="4" borderId="69" xfId="0" applyNumberFormat="1" applyFill="1" applyBorder="1" applyAlignment="1">
      <alignment horizontal="center" vertical="top" wrapText="1"/>
    </xf>
    <xf numFmtId="3" fontId="48" fillId="12" borderId="3" xfId="0" applyNumberFormat="1" applyFont="1" applyFill="1" applyBorder="1" applyAlignment="1">
      <alignment vertical="top"/>
    </xf>
    <xf numFmtId="3" fontId="20" fillId="12" borderId="6" xfId="0" applyNumberFormat="1" applyFont="1" applyFill="1" applyBorder="1" applyAlignment="1">
      <alignment vertical="top"/>
    </xf>
    <xf numFmtId="3" fontId="20" fillId="12" borderId="13" xfId="0" applyNumberFormat="1" applyFont="1" applyFill="1" applyBorder="1" applyAlignment="1">
      <alignment vertical="top"/>
    </xf>
    <xf numFmtId="3" fontId="20" fillId="0" borderId="18" xfId="0" applyNumberFormat="1" applyFont="1" applyBorder="1" applyAlignment="1">
      <alignment vertical="top"/>
    </xf>
    <xf numFmtId="3" fontId="20" fillId="0" borderId="16" xfId="0" applyNumberFormat="1" applyFont="1" applyBorder="1" applyAlignment="1">
      <alignment vertical="top"/>
    </xf>
    <xf numFmtId="3" fontId="48" fillId="12" borderId="13" xfId="0" applyNumberFormat="1" applyFont="1" applyFill="1" applyBorder="1" applyAlignment="1">
      <alignment vertical="top"/>
    </xf>
    <xf numFmtId="3" fontId="48" fillId="0" borderId="18" xfId="0" applyNumberFormat="1" applyFont="1" applyBorder="1" applyAlignment="1">
      <alignment vertical="top"/>
    </xf>
    <xf numFmtId="3" fontId="48" fillId="0" borderId="16" xfId="0" applyNumberFormat="1" applyFont="1" applyBorder="1" applyAlignment="1">
      <alignment vertical="top"/>
    </xf>
    <xf numFmtId="0" fontId="1" fillId="2" borderId="34" xfId="0" applyFont="1" applyFill="1" applyBorder="1" applyAlignment="1">
      <alignment vertical="top" wrapText="1"/>
    </xf>
    <xf numFmtId="0" fontId="0" fillId="0" borderId="26" xfId="0" applyBorder="1" applyAlignment="1">
      <alignment horizontal="left" vertical="top"/>
    </xf>
    <xf numFmtId="0" fontId="0" fillId="0" borderId="28" xfId="0" applyBorder="1" applyAlignment="1">
      <alignment horizontal="left" vertical="top"/>
    </xf>
    <xf numFmtId="0" fontId="0" fillId="0" borderId="27" xfId="0" applyBorder="1"/>
    <xf numFmtId="0" fontId="0" fillId="0" borderId="29" xfId="0" applyBorder="1"/>
    <xf numFmtId="0" fontId="3" fillId="0" borderId="34" xfId="0" applyFont="1" applyBorder="1" applyAlignment="1">
      <alignment horizontal="left" vertical="top"/>
    </xf>
    <xf numFmtId="0" fontId="0" fillId="0" borderId="43" xfId="0" applyBorder="1" applyAlignment="1">
      <alignment horizontal="left" vertical="top"/>
    </xf>
    <xf numFmtId="49" fontId="13" fillId="4" borderId="8" xfId="0" applyNumberFormat="1" applyFont="1" applyFill="1" applyBorder="1" applyAlignment="1">
      <alignment horizontal="center" vertical="top" wrapText="1"/>
    </xf>
    <xf numFmtId="49" fontId="13" fillId="4" borderId="8" xfId="0" applyNumberFormat="1" applyFont="1" applyFill="1" applyBorder="1" applyAlignment="1">
      <alignment horizontal="center" vertical="top"/>
    </xf>
    <xf numFmtId="1" fontId="13" fillId="4" borderId="8" xfId="0" applyNumberFormat="1" applyFont="1" applyFill="1" applyBorder="1" applyAlignment="1">
      <alignment horizontal="center" vertical="top" wrapText="1"/>
    </xf>
    <xf numFmtId="49" fontId="13" fillId="4" borderId="10" xfId="0" applyNumberFormat="1" applyFont="1" applyFill="1" applyBorder="1" applyAlignment="1">
      <alignment horizontal="center" vertical="top" wrapText="1"/>
    </xf>
    <xf numFmtId="49" fontId="11" fillId="4" borderId="7" xfId="0" applyNumberFormat="1" applyFont="1" applyFill="1" applyBorder="1" applyAlignment="1">
      <alignment horizontal="center" vertical="top" wrapText="1"/>
    </xf>
    <xf numFmtId="0" fontId="12" fillId="4" borderId="8" xfId="0" applyFont="1" applyFill="1" applyBorder="1" applyAlignment="1">
      <alignment horizontal="center" vertical="top" wrapText="1"/>
    </xf>
    <xf numFmtId="49" fontId="12" fillId="4" borderId="8" xfId="0" applyNumberFormat="1" applyFont="1" applyFill="1" applyBorder="1" applyAlignment="1">
      <alignment horizontal="center" vertical="top" wrapText="1"/>
    </xf>
    <xf numFmtId="1" fontId="12" fillId="4" borderId="8" xfId="0" applyNumberFormat="1" applyFont="1" applyFill="1" applyBorder="1" applyAlignment="1">
      <alignment horizontal="center" vertical="top" wrapText="1"/>
    </xf>
    <xf numFmtId="164" fontId="6" fillId="4" borderId="8" xfId="0" applyNumberFormat="1" applyFont="1" applyFill="1" applyBorder="1" applyAlignment="1">
      <alignment horizontal="center" vertical="top" wrapText="1"/>
    </xf>
    <xf numFmtId="164" fontId="6" fillId="4" borderId="10" xfId="0" applyNumberFormat="1" applyFont="1" applyFill="1" applyBorder="1" applyAlignment="1">
      <alignment horizontal="center" vertical="top" wrapText="1"/>
    </xf>
    <xf numFmtId="0" fontId="2" fillId="11" borderId="4" xfId="0" applyFont="1" applyFill="1" applyBorder="1" applyAlignment="1" applyProtection="1">
      <alignment vertical="top"/>
      <protection locked="0"/>
    </xf>
    <xf numFmtId="0" fontId="2" fillId="11" borderId="6" xfId="0" applyFont="1" applyFill="1" applyBorder="1" applyAlignment="1" applyProtection="1">
      <alignment vertical="top"/>
      <protection locked="0"/>
    </xf>
    <xf numFmtId="0" fontId="2" fillId="11" borderId="13" xfId="0" applyFont="1" applyFill="1" applyBorder="1" applyAlignment="1" applyProtection="1">
      <alignment vertical="top"/>
      <protection locked="0"/>
    </xf>
    <xf numFmtId="0" fontId="2" fillId="11" borderId="12" xfId="0" applyFont="1" applyFill="1" applyBorder="1" applyAlignment="1" applyProtection="1">
      <alignment vertical="top"/>
      <protection locked="0"/>
    </xf>
    <xf numFmtId="0" fontId="2" fillId="11" borderId="5" xfId="0" applyFont="1" applyFill="1" applyBorder="1" applyAlignment="1" applyProtection="1">
      <alignment vertical="top"/>
      <protection locked="0"/>
    </xf>
    <xf numFmtId="0" fontId="2" fillId="11" borderId="36" xfId="0" applyFont="1" applyFill="1" applyBorder="1" applyAlignment="1" applyProtection="1">
      <alignment vertical="top"/>
      <protection locked="0"/>
    </xf>
    <xf numFmtId="164" fontId="6" fillId="4" borderId="30" xfId="0" applyNumberFormat="1" applyFont="1" applyFill="1" applyBorder="1" applyAlignment="1">
      <alignment horizontal="center" vertical="top" wrapText="1"/>
    </xf>
    <xf numFmtId="1" fontId="12" fillId="4" borderId="30" xfId="0" applyNumberFormat="1" applyFont="1" applyFill="1" applyBorder="1" applyAlignment="1">
      <alignment horizontal="center" vertical="top" wrapText="1"/>
    </xf>
    <xf numFmtId="0" fontId="1" fillId="3" borderId="78" xfId="0" applyFont="1" applyFill="1" applyBorder="1" applyAlignment="1">
      <alignment horizontal="left" vertical="top"/>
    </xf>
    <xf numFmtId="0" fontId="11" fillId="0" borderId="47" xfId="0" applyFont="1" applyBorder="1" applyAlignment="1">
      <alignment vertical="top"/>
    </xf>
    <xf numFmtId="0" fontId="19" fillId="12" borderId="47" xfId="0" applyFont="1" applyFill="1" applyBorder="1" applyAlignment="1">
      <alignment horizontal="center" vertical="top"/>
    </xf>
    <xf numFmtId="0" fontId="2" fillId="12" borderId="47" xfId="0" applyFont="1" applyFill="1" applyBorder="1" applyAlignment="1">
      <alignment vertical="top" wrapText="1"/>
    </xf>
    <xf numFmtId="0" fontId="2" fillId="0" borderId="72" xfId="0" applyFont="1" applyBorder="1" applyAlignment="1">
      <alignment vertical="top"/>
    </xf>
    <xf numFmtId="0" fontId="50" fillId="3" borderId="3" xfId="0" applyFont="1" applyFill="1" applyBorder="1" applyAlignment="1">
      <alignment vertical="top"/>
    </xf>
    <xf numFmtId="0" fontId="19" fillId="12" borderId="26" xfId="0" applyFont="1" applyFill="1" applyBorder="1" applyAlignment="1">
      <alignment vertical="top" wrapText="1"/>
    </xf>
    <xf numFmtId="0" fontId="19" fillId="12" borderId="50" xfId="0" applyFont="1" applyFill="1" applyBorder="1" applyAlignment="1">
      <alignment vertical="top" wrapText="1"/>
    </xf>
    <xf numFmtId="0" fontId="17" fillId="0" borderId="34" xfId="0" applyFont="1" applyBorder="1" applyAlignment="1">
      <alignment horizontal="left" vertical="top" wrapText="1"/>
    </xf>
    <xf numFmtId="0" fontId="4" fillId="0" borderId="0" xfId="0" applyFont="1" applyAlignment="1">
      <alignment vertical="top" wrapText="1"/>
    </xf>
    <xf numFmtId="0" fontId="3" fillId="0" borderId="0" xfId="0" applyFont="1" applyAlignment="1">
      <alignment horizontal="right" vertical="top" wrapText="1"/>
    </xf>
    <xf numFmtId="0" fontId="3" fillId="0" borderId="0" xfId="0" applyFont="1" applyAlignment="1">
      <alignment vertical="top" wrapText="1"/>
    </xf>
    <xf numFmtId="3" fontId="3" fillId="0" borderId="0" xfId="0" applyNumberFormat="1" applyFont="1" applyAlignment="1">
      <alignment vertical="top"/>
    </xf>
    <xf numFmtId="3" fontId="3" fillId="0" borderId="0" xfId="0" applyNumberFormat="1" applyFont="1" applyAlignment="1">
      <alignment horizontal="right" vertical="top" wrapText="1"/>
    </xf>
    <xf numFmtId="3" fontId="4" fillId="0" borderId="0" xfId="0" applyNumberFormat="1" applyFont="1" applyAlignment="1">
      <alignment horizontal="right" vertical="top" wrapText="1"/>
    </xf>
    <xf numFmtId="3" fontId="4" fillId="0" borderId="0" xfId="0" applyNumberFormat="1" applyFont="1" applyAlignment="1">
      <alignment vertical="top"/>
    </xf>
    <xf numFmtId="0" fontId="50" fillId="0" borderId="0" xfId="0" applyFont="1" applyAlignment="1">
      <alignment vertical="top"/>
    </xf>
    <xf numFmtId="0" fontId="2" fillId="0" borderId="30" xfId="0" applyFont="1" applyBorder="1" applyAlignment="1">
      <alignment vertical="top" wrapText="1"/>
    </xf>
    <xf numFmtId="0" fontId="50" fillId="0" borderId="25" xfId="0" applyFont="1" applyBorder="1" applyAlignment="1">
      <alignment horizontal="right" vertical="top" wrapText="1"/>
    </xf>
    <xf numFmtId="0" fontId="50" fillId="0" borderId="41" xfId="0" applyFont="1" applyBorder="1" applyAlignment="1">
      <alignment horizontal="right" vertical="top" wrapText="1"/>
    </xf>
    <xf numFmtId="0" fontId="50" fillId="0" borderId="8" xfId="0" applyFont="1" applyBorder="1" applyAlignment="1">
      <alignment horizontal="right" vertical="top" wrapText="1"/>
    </xf>
    <xf numFmtId="0" fontId="50" fillId="0" borderId="10" xfId="0" applyFont="1" applyBorder="1" applyAlignment="1">
      <alignment vertical="top"/>
    </xf>
    <xf numFmtId="0" fontId="50" fillId="0" borderId="59" xfId="0" applyFont="1" applyBorder="1" applyAlignment="1">
      <alignment vertical="top" wrapText="1"/>
    </xf>
    <xf numFmtId="3" fontId="50" fillId="0" borderId="8" xfId="0" applyNumberFormat="1" applyFont="1" applyBorder="1" applyAlignment="1">
      <alignment horizontal="right" vertical="top" wrapText="1"/>
    </xf>
    <xf numFmtId="3" fontId="50" fillId="0" borderId="10" xfId="0" applyNumberFormat="1" applyFont="1" applyBorder="1" applyAlignment="1">
      <alignment horizontal="right" vertical="top" wrapText="1"/>
    </xf>
    <xf numFmtId="0" fontId="50" fillId="0" borderId="39" xfId="0" applyFont="1" applyBorder="1" applyAlignment="1">
      <alignment vertical="top" wrapText="1"/>
    </xf>
    <xf numFmtId="3" fontId="50" fillId="0" borderId="26" xfId="0" applyNumberFormat="1" applyFont="1" applyBorder="1" applyAlignment="1">
      <alignment vertical="top"/>
    </xf>
    <xf numFmtId="3" fontId="2" fillId="0" borderId="31" xfId="0" applyNumberFormat="1" applyFont="1" applyBorder="1" applyAlignment="1">
      <alignment horizontal="right" vertical="top" wrapText="1"/>
    </xf>
    <xf numFmtId="3" fontId="2" fillId="0" borderId="1" xfId="0" applyNumberFormat="1" applyFont="1" applyBorder="1" applyAlignment="1">
      <alignment horizontal="right" vertical="top" wrapText="1"/>
    </xf>
    <xf numFmtId="3" fontId="2" fillId="0" borderId="14" xfId="0" applyNumberFormat="1" applyFont="1" applyBorder="1" applyAlignment="1">
      <alignment horizontal="right" vertical="top" wrapText="1"/>
    </xf>
    <xf numFmtId="3" fontId="2" fillId="0" borderId="13" xfId="0" applyNumberFormat="1" applyFont="1" applyBorder="1" applyAlignment="1">
      <alignment horizontal="right" vertical="top" wrapText="1"/>
    </xf>
    <xf numFmtId="3" fontId="2" fillId="0" borderId="3" xfId="0" applyNumberFormat="1" applyFont="1" applyBorder="1" applyAlignment="1">
      <alignment horizontal="right" vertical="top" wrapText="1"/>
    </xf>
    <xf numFmtId="3" fontId="2" fillId="0" borderId="12" xfId="0" applyNumberFormat="1" applyFont="1" applyBorder="1" applyAlignment="1">
      <alignment horizontal="right" vertical="top" wrapText="1"/>
    </xf>
    <xf numFmtId="3" fontId="50" fillId="0" borderId="35" xfId="0" applyNumberFormat="1" applyFont="1" applyBorder="1" applyAlignment="1">
      <alignment vertical="top"/>
    </xf>
    <xf numFmtId="3" fontId="2" fillId="0" borderId="18" xfId="0" applyNumberFormat="1" applyFont="1" applyBorder="1" applyAlignment="1">
      <alignment horizontal="right" vertical="top" wrapText="1"/>
    </xf>
    <xf numFmtId="3" fontId="2" fillId="0" borderId="16" xfId="0" applyNumberFormat="1" applyFont="1" applyBorder="1" applyAlignment="1">
      <alignment horizontal="right" vertical="top" wrapText="1"/>
    </xf>
    <xf numFmtId="3" fontId="2" fillId="0" borderId="15" xfId="0" applyNumberFormat="1" applyFont="1" applyBorder="1" applyAlignment="1">
      <alignment horizontal="right" vertical="top" wrapText="1"/>
    </xf>
    <xf numFmtId="0" fontId="50" fillId="0" borderId="30" xfId="0" applyFont="1" applyBorder="1" applyAlignment="1">
      <alignment horizontal="right" vertical="top" wrapText="1"/>
    </xf>
    <xf numFmtId="0" fontId="50" fillId="0" borderId="72" xfId="0" applyFont="1" applyBorder="1" applyAlignment="1">
      <alignment vertical="top" wrapText="1"/>
    </xf>
    <xf numFmtId="3" fontId="50" fillId="0" borderId="72" xfId="0" applyNumberFormat="1" applyFont="1" applyBorder="1" applyAlignment="1">
      <alignment horizontal="right" vertical="top" wrapText="1"/>
    </xf>
    <xf numFmtId="0" fontId="38" fillId="0" borderId="40" xfId="0" applyFont="1" applyBorder="1" applyAlignment="1">
      <alignment vertical="top" wrapText="1"/>
    </xf>
    <xf numFmtId="3" fontId="50" fillId="0" borderId="40" xfId="0" applyNumberFormat="1" applyFont="1" applyBorder="1" applyAlignment="1">
      <alignment vertical="top"/>
    </xf>
    <xf numFmtId="3" fontId="2" fillId="0" borderId="73" xfId="0" applyNumberFormat="1" applyFont="1" applyBorder="1" applyAlignment="1">
      <alignment vertical="top"/>
    </xf>
    <xf numFmtId="3" fontId="2" fillId="0" borderId="1" xfId="0" applyNumberFormat="1" applyFont="1" applyBorder="1" applyAlignment="1">
      <alignment vertical="top"/>
    </xf>
    <xf numFmtId="3" fontId="2" fillId="0" borderId="14" xfId="0" applyNumberFormat="1" applyFont="1" applyBorder="1" applyAlignment="1">
      <alignment vertical="top"/>
    </xf>
    <xf numFmtId="3" fontId="50" fillId="0" borderId="36" xfId="0" applyNumberFormat="1" applyFont="1" applyBorder="1" applyAlignment="1">
      <alignment vertical="top"/>
    </xf>
    <xf numFmtId="3" fontId="2" fillId="0" borderId="19" xfId="0" applyNumberFormat="1" applyFont="1" applyBorder="1" applyAlignment="1">
      <alignment vertical="top"/>
    </xf>
    <xf numFmtId="3" fontId="2" fillId="0" borderId="3" xfId="0" applyNumberFormat="1" applyFont="1" applyBorder="1" applyAlignment="1">
      <alignment vertical="top"/>
    </xf>
    <xf numFmtId="3" fontId="2" fillId="0" borderId="12" xfId="0" applyNumberFormat="1" applyFont="1" applyBorder="1" applyAlignment="1">
      <alignment vertical="top"/>
    </xf>
    <xf numFmtId="0" fontId="38" fillId="0" borderId="72" xfId="0" applyFont="1" applyBorder="1" applyAlignment="1">
      <alignment vertical="top" wrapText="1"/>
    </xf>
    <xf numFmtId="3" fontId="50" fillId="0" borderId="37" xfId="0" applyNumberFormat="1" applyFont="1" applyBorder="1" applyAlignment="1">
      <alignment vertical="top"/>
    </xf>
    <xf numFmtId="3" fontId="2" fillId="0" borderId="71" xfId="0" applyNumberFormat="1" applyFont="1" applyBorder="1" applyAlignment="1">
      <alignment vertical="top"/>
    </xf>
    <xf numFmtId="3" fontId="2" fillId="0" borderId="16" xfId="0" applyNumberFormat="1" applyFont="1" applyBorder="1" applyAlignment="1">
      <alignment vertical="top"/>
    </xf>
    <xf numFmtId="3" fontId="2" fillId="0" borderId="15" xfId="0" applyNumberFormat="1" applyFont="1" applyBorder="1" applyAlignment="1">
      <alignment vertical="top"/>
    </xf>
    <xf numFmtId="164" fontId="6" fillId="4" borderId="23" xfId="0" applyNumberFormat="1" applyFont="1" applyFill="1" applyBorder="1" applyAlignment="1">
      <alignment horizontal="center" vertical="top" wrapText="1"/>
    </xf>
    <xf numFmtId="1" fontId="12" fillId="4" borderId="24" xfId="0" applyNumberFormat="1" applyFont="1" applyFill="1" applyBorder="1" applyAlignment="1">
      <alignment horizontal="center" vertical="top" wrapText="1"/>
    </xf>
    <xf numFmtId="0" fontId="19" fillId="11" borderId="36" xfId="0" applyFont="1" applyFill="1" applyBorder="1" applyAlignment="1" applyProtection="1">
      <alignment vertical="top" wrapText="1"/>
      <protection locked="0"/>
    </xf>
    <xf numFmtId="0" fontId="19" fillId="11" borderId="51" xfId="0" applyFont="1" applyFill="1" applyBorder="1" applyAlignment="1" applyProtection="1">
      <alignment vertical="top" wrapText="1"/>
      <protection locked="0"/>
    </xf>
    <xf numFmtId="164" fontId="14" fillId="4" borderId="68" xfId="0" applyNumberFormat="1" applyFont="1" applyFill="1" applyBorder="1" applyAlignment="1">
      <alignment horizontal="center" vertical="top" wrapText="1"/>
    </xf>
    <xf numFmtId="0" fontId="2" fillId="11" borderId="22" xfId="0" applyFont="1" applyFill="1" applyBorder="1" applyAlignment="1" applyProtection="1">
      <alignment vertical="top"/>
      <protection locked="0"/>
    </xf>
    <xf numFmtId="0" fontId="2" fillId="11" borderId="20" xfId="0" applyFont="1" applyFill="1" applyBorder="1" applyAlignment="1" applyProtection="1">
      <alignment vertical="top"/>
      <protection locked="0"/>
    </xf>
    <xf numFmtId="0" fontId="2" fillId="11" borderId="40" xfId="0" applyFont="1" applyFill="1" applyBorder="1" applyAlignment="1" applyProtection="1">
      <alignment vertical="top"/>
      <protection locked="0"/>
    </xf>
    <xf numFmtId="0" fontId="19" fillId="11" borderId="36" xfId="0" applyFont="1" applyFill="1" applyBorder="1" applyAlignment="1" applyProtection="1">
      <alignment vertical="top"/>
      <protection locked="0"/>
    </xf>
    <xf numFmtId="0" fontId="2" fillId="11" borderId="36" xfId="0" applyFont="1" applyFill="1" applyBorder="1" applyAlignment="1" applyProtection="1">
      <alignment vertical="top" wrapText="1"/>
      <protection locked="0"/>
    </xf>
    <xf numFmtId="3" fontId="21" fillId="0" borderId="32" xfId="0" applyNumberFormat="1" applyFont="1" applyBorder="1" applyAlignment="1">
      <alignment vertical="top"/>
    </xf>
    <xf numFmtId="3" fontId="21" fillId="0" borderId="76" xfId="0" applyNumberFormat="1" applyFont="1" applyBorder="1" applyAlignment="1">
      <alignment vertical="top"/>
    </xf>
    <xf numFmtId="3" fontId="21" fillId="0" borderId="77" xfId="0" applyNumberFormat="1" applyFont="1" applyBorder="1" applyAlignment="1">
      <alignment vertical="top"/>
    </xf>
    <xf numFmtId="49" fontId="17" fillId="4" borderId="91" xfId="0" applyNumberFormat="1" applyFont="1" applyFill="1" applyBorder="1" applyAlignment="1">
      <alignment horizontal="center" vertical="top" wrapText="1"/>
    </xf>
    <xf numFmtId="0" fontId="19" fillId="11" borderId="13" xfId="0" applyFont="1" applyFill="1" applyBorder="1" applyAlignment="1" applyProtection="1">
      <alignment horizontal="left" vertical="top"/>
      <protection locked="0"/>
    </xf>
    <xf numFmtId="3" fontId="15" fillId="0" borderId="7" xfId="0" applyNumberFormat="1" applyFont="1" applyBorder="1" applyAlignment="1">
      <alignment vertical="top"/>
    </xf>
    <xf numFmtId="3" fontId="15" fillId="0" borderId="8" xfId="0" applyNumberFormat="1" applyFont="1" applyBorder="1" applyAlignment="1">
      <alignment vertical="top"/>
    </xf>
    <xf numFmtId="3" fontId="15" fillId="0" borderId="10" xfId="0" applyNumberFormat="1" applyFont="1" applyBorder="1" applyAlignment="1">
      <alignment vertical="top"/>
    </xf>
    <xf numFmtId="49" fontId="13" fillId="4" borderId="41" xfId="0" applyNumberFormat="1" applyFont="1" applyFill="1" applyBorder="1" applyAlignment="1">
      <alignment horizontal="center" vertical="top" wrapText="1"/>
    </xf>
    <xf numFmtId="49" fontId="17" fillId="4" borderId="7" xfId="0" applyNumberFormat="1" applyFont="1" applyFill="1" applyBorder="1" applyAlignment="1">
      <alignment horizontal="center" vertical="top" wrapText="1"/>
    </xf>
    <xf numFmtId="49" fontId="17" fillId="4" borderId="8" xfId="0" applyNumberFormat="1" applyFont="1" applyFill="1" applyBorder="1" applyAlignment="1">
      <alignment horizontal="center" vertical="top" wrapText="1"/>
    </xf>
    <xf numFmtId="49" fontId="12" fillId="4" borderId="7" xfId="0" applyNumberFormat="1" applyFont="1" applyFill="1" applyBorder="1" applyAlignment="1">
      <alignment horizontal="center" vertical="top" wrapText="1"/>
    </xf>
    <xf numFmtId="164" fontId="14" fillId="4" borderId="33" xfId="0" applyNumberFormat="1" applyFont="1" applyFill="1" applyBorder="1" applyAlignment="1">
      <alignment horizontal="center" vertical="top" wrapText="1"/>
    </xf>
    <xf numFmtId="0" fontId="1" fillId="4" borderId="3" xfId="0" applyFont="1" applyFill="1" applyBorder="1" applyAlignment="1">
      <alignment horizontal="center" vertical="top" wrapText="1"/>
    </xf>
    <xf numFmtId="0" fontId="1" fillId="0" borderId="0" xfId="0" applyFont="1" applyAlignment="1">
      <alignment vertical="top" wrapText="1"/>
    </xf>
    <xf numFmtId="0" fontId="50" fillId="4" borderId="3" xfId="0" applyFont="1" applyFill="1" applyBorder="1" applyAlignment="1">
      <alignment horizontal="center" vertical="top" wrapText="1"/>
    </xf>
    <xf numFmtId="0" fontId="2" fillId="0" borderId="3" xfId="0" applyFont="1" applyBorder="1" applyAlignment="1">
      <alignment horizontal="left" vertical="top"/>
    </xf>
    <xf numFmtId="0" fontId="2" fillId="0" borderId="3" xfId="0" applyFont="1" applyBorder="1" applyAlignment="1">
      <alignment horizontal="center" vertical="top"/>
    </xf>
    <xf numFmtId="0" fontId="0" fillId="0" borderId="3" xfId="0" applyBorder="1" applyAlignment="1">
      <alignment horizontal="center" vertical="top"/>
    </xf>
    <xf numFmtId="3" fontId="2" fillId="0" borderId="3" xfId="0" applyNumberFormat="1" applyFont="1" applyBorder="1" applyAlignment="1">
      <alignment horizontal="right" vertical="top"/>
    </xf>
    <xf numFmtId="0" fontId="0" fillId="0" borderId="3" xfId="0" applyBorder="1" applyAlignment="1">
      <alignment horizontal="left" vertical="top"/>
    </xf>
    <xf numFmtId="3" fontId="0" fillId="0" borderId="3" xfId="0" applyNumberFormat="1" applyBorder="1" applyAlignment="1">
      <alignment horizontal="right" vertical="top"/>
    </xf>
    <xf numFmtId="0" fontId="0" fillId="0" borderId="3" xfId="0" applyBorder="1" applyAlignment="1">
      <alignment horizontal="right" vertical="top"/>
    </xf>
    <xf numFmtId="0" fontId="2" fillId="0" borderId="0" xfId="0" applyFont="1" applyAlignment="1">
      <alignment vertical="center"/>
    </xf>
    <xf numFmtId="0" fontId="1" fillId="2" borderId="92" xfId="0" applyFont="1" applyFill="1" applyBorder="1" applyAlignment="1">
      <alignment vertical="top" wrapText="1"/>
    </xf>
    <xf numFmtId="0" fontId="3" fillId="0" borderId="92" xfId="0" applyFont="1" applyBorder="1" applyAlignment="1">
      <alignment horizontal="left" vertical="top"/>
    </xf>
    <xf numFmtId="0" fontId="1" fillId="3" borderId="95" xfId="0" applyFont="1" applyFill="1" applyBorder="1" applyAlignment="1">
      <alignment vertical="top" wrapText="1"/>
    </xf>
    <xf numFmtId="0" fontId="1" fillId="3" borderId="98" xfId="0" applyFont="1" applyFill="1" applyBorder="1" applyAlignment="1">
      <alignment vertical="top" wrapText="1"/>
    </xf>
    <xf numFmtId="3" fontId="2" fillId="12" borderId="99" xfId="0" applyNumberFormat="1" applyFont="1" applyFill="1" applyBorder="1" applyAlignment="1">
      <alignment horizontal="right" vertical="top" wrapText="1"/>
    </xf>
    <xf numFmtId="0" fontId="0" fillId="0" borderId="95" xfId="0" applyBorder="1" applyAlignment="1">
      <alignment horizontal="left" vertical="top"/>
    </xf>
    <xf numFmtId="0" fontId="0" fillId="0" borderId="102" xfId="0" applyBorder="1" applyAlignment="1">
      <alignment vertical="top"/>
    </xf>
    <xf numFmtId="0" fontId="0" fillId="0" borderId="103" xfId="0" applyBorder="1" applyAlignment="1">
      <alignment vertical="top"/>
    </xf>
    <xf numFmtId="0" fontId="0" fillId="0" borderId="102" xfId="0" applyBorder="1" applyAlignment="1">
      <alignment horizontal="left" vertical="top"/>
    </xf>
    <xf numFmtId="3" fontId="0" fillId="11" borderId="98" xfId="0" applyNumberFormat="1" applyFill="1" applyBorder="1" applyAlignment="1" applyProtection="1">
      <alignment horizontal="left" vertical="top" wrapText="1"/>
      <protection locked="0"/>
    </xf>
    <xf numFmtId="3" fontId="0" fillId="0" borderId="95" xfId="0" applyNumberFormat="1" applyBorder="1" applyAlignment="1">
      <alignment vertical="top"/>
    </xf>
    <xf numFmtId="3" fontId="0" fillId="0" borderId="96" xfId="0" applyNumberFormat="1" applyBorder="1" applyAlignment="1">
      <alignment vertical="top"/>
    </xf>
    <xf numFmtId="3" fontId="0" fillId="0" borderId="97" xfId="0" applyNumberFormat="1" applyBorder="1" applyAlignment="1">
      <alignment vertical="top"/>
    </xf>
    <xf numFmtId="3" fontId="0" fillId="0" borderId="98" xfId="0" applyNumberFormat="1" applyBorder="1" applyAlignment="1">
      <alignment vertical="top"/>
    </xf>
    <xf numFmtId="3" fontId="0" fillId="0" borderId="99" xfId="0" applyNumberFormat="1" applyBorder="1" applyAlignment="1">
      <alignment vertical="top"/>
    </xf>
    <xf numFmtId="3" fontId="0" fillId="0" borderId="100" xfId="0" applyNumberFormat="1" applyBorder="1" applyAlignment="1">
      <alignment vertical="top"/>
    </xf>
    <xf numFmtId="3" fontId="50" fillId="0" borderId="41" xfId="0" applyNumberFormat="1" applyFont="1" applyBorder="1" applyAlignment="1">
      <alignment horizontal="right" vertical="top" wrapText="1"/>
    </xf>
    <xf numFmtId="0" fontId="50" fillId="0" borderId="29" xfId="0" applyFont="1" applyBorder="1" applyAlignment="1">
      <alignment horizontal="right" vertical="top" wrapText="1"/>
    </xf>
    <xf numFmtId="3" fontId="50" fillId="0" borderId="39" xfId="0" applyNumberFormat="1" applyFont="1" applyBorder="1" applyAlignment="1">
      <alignment vertical="top"/>
    </xf>
    <xf numFmtId="3" fontId="50" fillId="0" borderId="94" xfId="0" applyNumberFormat="1" applyFont="1" applyBorder="1" applyAlignment="1">
      <alignment vertical="top"/>
    </xf>
    <xf numFmtId="3" fontId="50" fillId="0" borderId="56" xfId="0" applyNumberFormat="1" applyFont="1" applyBorder="1" applyAlignment="1">
      <alignment horizontal="right" vertical="top" wrapText="1"/>
    </xf>
    <xf numFmtId="3" fontId="50" fillId="0" borderId="57" xfId="0" applyNumberFormat="1" applyFont="1" applyBorder="1" applyAlignment="1">
      <alignment horizontal="right" vertical="top" wrapText="1"/>
    </xf>
    <xf numFmtId="0" fontId="50" fillId="0" borderId="24" xfId="0" applyFont="1" applyBorder="1" applyAlignment="1">
      <alignment horizontal="right" vertical="top" wrapText="1"/>
    </xf>
    <xf numFmtId="3" fontId="50" fillId="0" borderId="106" xfId="0" applyNumberFormat="1" applyFont="1" applyBorder="1" applyAlignment="1">
      <alignment horizontal="right" vertical="top" wrapText="1"/>
    </xf>
    <xf numFmtId="0" fontId="50" fillId="0" borderId="94" xfId="0" applyFont="1" applyBorder="1" applyAlignment="1">
      <alignment horizontal="right" vertical="top" wrapText="1"/>
    </xf>
    <xf numFmtId="0" fontId="2" fillId="0" borderId="3" xfId="0" applyFont="1" applyBorder="1" applyAlignment="1" applyProtection="1">
      <alignment horizontal="left" vertical="top"/>
      <protection locked="0"/>
    </xf>
    <xf numFmtId="0" fontId="0" fillId="0" borderId="3" xfId="0" applyBorder="1" applyAlignment="1" applyProtection="1">
      <alignment horizontal="left" vertical="top"/>
      <protection locked="0"/>
    </xf>
    <xf numFmtId="0" fontId="1" fillId="2" borderId="107" xfId="0" applyFont="1" applyFill="1" applyBorder="1" applyAlignment="1">
      <alignment vertical="top" wrapText="1"/>
    </xf>
    <xf numFmtId="0" fontId="1" fillId="3" borderId="110" xfId="0" applyFont="1" applyFill="1" applyBorder="1" applyAlignment="1">
      <alignment vertical="top" wrapText="1"/>
    </xf>
    <xf numFmtId="0" fontId="0" fillId="3" borderId="111" xfId="0" applyFill="1" applyBorder="1" applyAlignment="1">
      <alignment horizontal="center" vertical="top" wrapText="1"/>
    </xf>
    <xf numFmtId="0" fontId="1" fillId="3" borderId="112" xfId="0" applyFont="1" applyFill="1" applyBorder="1" applyAlignment="1">
      <alignment vertical="top" wrapText="1"/>
    </xf>
    <xf numFmtId="3" fontId="2" fillId="3" borderId="113" xfId="0" applyNumberFormat="1" applyFont="1" applyFill="1" applyBorder="1" applyAlignment="1">
      <alignment horizontal="right" vertical="top" wrapText="1"/>
    </xf>
    <xf numFmtId="3" fontId="2" fillId="3" borderId="114" xfId="0" applyNumberFormat="1" applyFont="1" applyFill="1" applyBorder="1" applyAlignment="1">
      <alignment horizontal="right" vertical="top" wrapText="1"/>
    </xf>
    <xf numFmtId="0" fontId="1" fillId="3" borderId="115" xfId="0" applyFont="1" applyFill="1" applyBorder="1" applyAlignment="1">
      <alignment vertical="top" wrapText="1"/>
    </xf>
    <xf numFmtId="3" fontId="2" fillId="3" borderId="21" xfId="0" applyNumberFormat="1" applyFont="1" applyFill="1" applyBorder="1" applyAlignment="1">
      <alignment horizontal="right" vertical="top" wrapText="1"/>
    </xf>
    <xf numFmtId="3" fontId="2" fillId="3" borderId="48" xfId="0" applyNumberFormat="1" applyFont="1" applyFill="1" applyBorder="1" applyAlignment="1">
      <alignment horizontal="right" vertical="top" wrapText="1"/>
    </xf>
    <xf numFmtId="3" fontId="0" fillId="11" borderId="99" xfId="0" applyNumberFormat="1" applyFill="1" applyBorder="1" applyAlignment="1" applyProtection="1">
      <alignment horizontal="right" vertical="top" wrapText="1"/>
      <protection locked="0"/>
    </xf>
    <xf numFmtId="3" fontId="0" fillId="11" borderId="101" xfId="0" applyNumberFormat="1" applyFill="1" applyBorder="1" applyAlignment="1" applyProtection="1">
      <alignment horizontal="right" vertical="top" wrapText="1"/>
      <protection locked="0"/>
    </xf>
    <xf numFmtId="3" fontId="0" fillId="12" borderId="16" xfId="0" applyNumberFormat="1" applyFill="1" applyBorder="1" applyAlignment="1">
      <alignment horizontal="right" vertical="top" wrapText="1"/>
    </xf>
    <xf numFmtId="3" fontId="0" fillId="12" borderId="17" xfId="0" applyNumberFormat="1" applyFill="1" applyBorder="1" applyAlignment="1">
      <alignment horizontal="right" vertical="top" wrapText="1"/>
    </xf>
    <xf numFmtId="9" fontId="0" fillId="12" borderId="17" xfId="0" applyNumberFormat="1" applyFill="1" applyBorder="1" applyAlignment="1">
      <alignment horizontal="right" vertical="top" wrapText="1"/>
    </xf>
    <xf numFmtId="3" fontId="0" fillId="0" borderId="116" xfId="0" applyNumberFormat="1" applyBorder="1" applyAlignment="1">
      <alignment vertical="top"/>
    </xf>
    <xf numFmtId="3" fontId="0" fillId="0" borderId="101" xfId="0" applyNumberFormat="1" applyBorder="1" applyAlignment="1">
      <alignment vertical="top"/>
    </xf>
    <xf numFmtId="3" fontId="0" fillId="0" borderId="117" xfId="0" applyNumberFormat="1" applyBorder="1" applyAlignment="1">
      <alignment vertical="top"/>
    </xf>
    <xf numFmtId="3" fontId="0" fillId="0" borderId="118" xfId="0" applyNumberFormat="1" applyBorder="1" applyAlignment="1">
      <alignment vertical="top"/>
    </xf>
    <xf numFmtId="0" fontId="2" fillId="11" borderId="33" xfId="0" applyFont="1" applyFill="1" applyBorder="1" applyAlignment="1" applyProtection="1">
      <alignment vertical="top" wrapText="1"/>
      <protection locked="0"/>
    </xf>
    <xf numFmtId="0" fontId="4" fillId="0" borderId="3" xfId="0" applyFont="1" applyBorder="1" applyAlignment="1">
      <alignment horizontal="left" vertical="top"/>
    </xf>
    <xf numFmtId="0" fontId="4" fillId="0" borderId="3" xfId="0" applyFont="1" applyBorder="1" applyAlignment="1">
      <alignment horizontal="center" vertical="top"/>
    </xf>
    <xf numFmtId="0" fontId="4" fillId="0" borderId="3" xfId="0" applyFont="1" applyBorder="1" applyAlignment="1" applyProtection="1">
      <alignment horizontal="left" vertical="top"/>
      <protection locked="0"/>
    </xf>
    <xf numFmtId="3" fontId="4" fillId="0" borderId="3" xfId="0" applyNumberFormat="1" applyFont="1" applyBorder="1" applyAlignment="1">
      <alignment horizontal="right" vertical="top"/>
    </xf>
    <xf numFmtId="0" fontId="4" fillId="0" borderId="3" xfId="0" applyFont="1" applyBorder="1" applyAlignment="1">
      <alignment horizontal="right" vertical="top"/>
    </xf>
    <xf numFmtId="0" fontId="15" fillId="11" borderId="1" xfId="0" applyFont="1" applyFill="1" applyBorder="1" applyAlignment="1" applyProtection="1">
      <alignment horizontal="left" vertical="top"/>
      <protection locked="0"/>
    </xf>
    <xf numFmtId="0" fontId="19" fillId="11" borderId="40" xfId="0" applyFont="1" applyFill="1" applyBorder="1" applyAlignment="1" applyProtection="1">
      <alignment vertical="top"/>
      <protection locked="0"/>
    </xf>
    <xf numFmtId="0" fontId="15" fillId="11" borderId="3" xfId="0" applyFont="1" applyFill="1" applyBorder="1" applyAlignment="1" applyProtection="1">
      <alignment horizontal="left" vertical="top"/>
      <protection locked="0"/>
    </xf>
    <xf numFmtId="0" fontId="2" fillId="11" borderId="3" xfId="1" applyFont="1" applyFill="1" applyBorder="1" applyAlignment="1" applyProtection="1">
      <alignment horizontal="left" vertical="top"/>
      <protection locked="0"/>
    </xf>
    <xf numFmtId="0" fontId="23" fillId="11" borderId="3" xfId="1" applyFill="1" applyBorder="1" applyAlignment="1" applyProtection="1">
      <alignment horizontal="left" vertical="top"/>
      <protection locked="0"/>
    </xf>
    <xf numFmtId="0" fontId="23" fillId="11" borderId="1" xfId="1" applyFill="1" applyBorder="1" applyAlignment="1" applyProtection="1">
      <alignment horizontal="left" vertical="top"/>
      <protection locked="0"/>
    </xf>
    <xf numFmtId="0" fontId="4" fillId="11" borderId="3" xfId="0" applyFont="1" applyFill="1" applyBorder="1" applyAlignment="1" applyProtection="1">
      <alignment vertical="top"/>
      <protection locked="0"/>
    </xf>
    <xf numFmtId="0" fontId="2" fillId="11" borderId="31" xfId="0" applyFont="1" applyFill="1" applyBorder="1" applyAlignment="1" applyProtection="1">
      <alignment horizontal="left" vertical="top"/>
      <protection locked="0"/>
    </xf>
    <xf numFmtId="0" fontId="2" fillId="11" borderId="1" xfId="0" applyFont="1" applyFill="1" applyBorder="1" applyAlignment="1" applyProtection="1">
      <alignment horizontal="left" vertical="top"/>
      <protection locked="0"/>
    </xf>
    <xf numFmtId="0" fontId="0" fillId="11" borderId="3" xfId="0" applyFill="1" applyBorder="1" applyAlignment="1" applyProtection="1">
      <alignment vertical="top"/>
      <protection locked="0"/>
    </xf>
    <xf numFmtId="0" fontId="0" fillId="0" borderId="0" xfId="0" applyAlignment="1">
      <alignment horizontal="left" vertical="top" wrapText="1"/>
    </xf>
    <xf numFmtId="0" fontId="1" fillId="3" borderId="0" xfId="0" applyFont="1" applyFill="1" applyAlignment="1">
      <alignment horizontal="left" vertical="top" wrapText="1"/>
    </xf>
    <xf numFmtId="3" fontId="21" fillId="0" borderId="0" xfId="0" applyNumberFormat="1" applyFont="1" applyAlignment="1">
      <alignment vertical="top"/>
    </xf>
    <xf numFmtId="1" fontId="53" fillId="13" borderId="8" xfId="0" applyNumberFormat="1" applyFont="1" applyFill="1" applyBorder="1" applyAlignment="1">
      <alignment horizontal="left" vertical="top" wrapText="1"/>
    </xf>
    <xf numFmtId="0" fontId="54" fillId="13" borderId="8" xfId="0" applyFont="1" applyFill="1" applyBorder="1" applyAlignment="1">
      <alignment horizontal="left" vertical="top" wrapText="1"/>
    </xf>
    <xf numFmtId="0" fontId="19" fillId="14" borderId="1" xfId="0" applyFont="1" applyFill="1" applyBorder="1" applyAlignment="1" applyProtection="1">
      <alignment horizontal="left" vertical="top"/>
      <protection locked="0"/>
    </xf>
    <xf numFmtId="0" fontId="19" fillId="14" borderId="3" xfId="0" applyFont="1" applyFill="1" applyBorder="1" applyAlignment="1" applyProtection="1">
      <alignment horizontal="left" vertical="top"/>
      <protection locked="0"/>
    </xf>
    <xf numFmtId="0" fontId="15" fillId="14" borderId="3" xfId="0" applyFont="1" applyFill="1" applyBorder="1" applyAlignment="1" applyProtection="1">
      <alignment horizontal="left" vertical="top"/>
      <protection locked="0"/>
    </xf>
    <xf numFmtId="0" fontId="2" fillId="14" borderId="1" xfId="0" applyFont="1" applyFill="1" applyBorder="1" applyAlignment="1" applyProtection="1">
      <alignment horizontal="left" vertical="top"/>
      <protection locked="0"/>
    </xf>
    <xf numFmtId="0" fontId="15" fillId="14" borderId="3" xfId="0" applyFont="1" applyFill="1" applyBorder="1" applyAlignment="1" applyProtection="1">
      <alignment horizontal="left" vertical="top" wrapText="1"/>
      <protection locked="0"/>
    </xf>
    <xf numFmtId="0" fontId="15" fillId="14" borderId="21" xfId="0" applyFont="1" applyFill="1" applyBorder="1" applyAlignment="1" applyProtection="1">
      <alignment horizontal="left" vertical="top" wrapText="1"/>
      <protection locked="0"/>
    </xf>
    <xf numFmtId="0" fontId="0" fillId="3" borderId="60" xfId="0" applyFill="1" applyBorder="1" applyAlignment="1">
      <alignment vertical="top"/>
    </xf>
    <xf numFmtId="0" fontId="0" fillId="3" borderId="121" xfId="0" applyFill="1" applyBorder="1" applyAlignment="1">
      <alignment vertical="top"/>
    </xf>
    <xf numFmtId="0" fontId="0" fillId="3" borderId="122" xfId="0" applyFill="1" applyBorder="1" applyAlignment="1">
      <alignment vertical="top"/>
    </xf>
    <xf numFmtId="0" fontId="31" fillId="7" borderId="0" xfId="0" applyFont="1" applyFill="1" applyAlignment="1">
      <alignment vertical="top"/>
    </xf>
    <xf numFmtId="0" fontId="33" fillId="7" borderId="124" xfId="0" applyFont="1" applyFill="1" applyBorder="1" applyAlignment="1">
      <alignment vertical="top"/>
    </xf>
    <xf numFmtId="0" fontId="0" fillId="3" borderId="65" xfId="0" applyFill="1" applyBorder="1" applyAlignment="1">
      <alignment vertical="top"/>
    </xf>
    <xf numFmtId="0" fontId="0" fillId="3" borderId="102" xfId="0" applyFill="1" applyBorder="1" applyAlignment="1">
      <alignment vertical="top"/>
    </xf>
    <xf numFmtId="0" fontId="46" fillId="3" borderId="102" xfId="0" applyFont="1" applyFill="1" applyBorder="1" applyAlignment="1">
      <alignment vertical="top"/>
    </xf>
    <xf numFmtId="3" fontId="31" fillId="7" borderId="125" xfId="0" applyNumberFormat="1" applyFont="1" applyFill="1" applyBorder="1" applyAlignment="1">
      <alignment vertical="top"/>
    </xf>
    <xf numFmtId="0" fontId="33" fillId="7" borderId="102" xfId="0" applyFont="1" applyFill="1" applyBorder="1" applyAlignment="1">
      <alignment vertical="top"/>
    </xf>
    <xf numFmtId="3" fontId="31" fillId="7" borderId="126" xfId="0" applyNumberFormat="1" applyFont="1" applyFill="1" applyBorder="1" applyAlignment="1">
      <alignment vertical="top"/>
    </xf>
    <xf numFmtId="0" fontId="31" fillId="7" borderId="127" xfId="0" applyFont="1" applyFill="1" applyBorder="1" applyAlignment="1">
      <alignment vertical="top"/>
    </xf>
    <xf numFmtId="3" fontId="31" fillId="7" borderId="102" xfId="0" applyNumberFormat="1" applyFont="1" applyFill="1" applyBorder="1" applyAlignment="1">
      <alignment vertical="top"/>
    </xf>
    <xf numFmtId="0" fontId="33" fillId="7" borderId="127" xfId="0" applyFont="1" applyFill="1" applyBorder="1" applyAlignment="1">
      <alignment vertical="top"/>
    </xf>
    <xf numFmtId="0" fontId="33" fillId="7" borderId="103" xfId="0" applyFont="1" applyFill="1" applyBorder="1" applyAlignment="1">
      <alignment vertical="top"/>
    </xf>
    <xf numFmtId="0" fontId="33" fillId="7" borderId="128" xfId="0" applyFont="1" applyFill="1" applyBorder="1" applyAlignment="1">
      <alignment vertical="top"/>
    </xf>
    <xf numFmtId="0" fontId="0" fillId="3" borderId="129" xfId="0" applyFill="1" applyBorder="1" applyAlignment="1">
      <alignment vertical="top"/>
    </xf>
    <xf numFmtId="0" fontId="0" fillId="0" borderId="128" xfId="0" applyBorder="1" applyAlignment="1">
      <alignment vertical="top"/>
    </xf>
    <xf numFmtId="0" fontId="0" fillId="3" borderId="130" xfId="0" applyFill="1" applyBorder="1" applyAlignment="1">
      <alignment vertical="top"/>
    </xf>
    <xf numFmtId="0" fontId="33" fillId="7" borderId="131" xfId="0" applyFont="1" applyFill="1" applyBorder="1" applyAlignment="1">
      <alignment vertical="top"/>
    </xf>
    <xf numFmtId="0" fontId="31" fillId="7" borderId="131" xfId="0" applyFont="1" applyFill="1" applyBorder="1" applyAlignment="1">
      <alignment vertical="top"/>
    </xf>
    <xf numFmtId="0" fontId="28" fillId="7" borderId="133" xfId="0" applyFont="1" applyFill="1" applyBorder="1" applyAlignment="1">
      <alignment vertical="top"/>
    </xf>
    <xf numFmtId="0" fontId="46" fillId="3" borderId="60" xfId="0" applyFont="1" applyFill="1" applyBorder="1" applyAlignment="1">
      <alignment vertical="top"/>
    </xf>
    <xf numFmtId="0" fontId="46" fillId="3" borderId="130" xfId="0" applyFont="1" applyFill="1" applyBorder="1" applyAlignment="1">
      <alignment vertical="top"/>
    </xf>
    <xf numFmtId="0" fontId="31" fillId="7" borderId="102" xfId="0" applyFont="1" applyFill="1" applyBorder="1" applyAlignment="1">
      <alignment vertical="top"/>
    </xf>
    <xf numFmtId="0" fontId="33" fillId="7" borderId="134" xfId="0" applyFont="1" applyFill="1" applyBorder="1" applyAlignment="1">
      <alignment vertical="top"/>
    </xf>
    <xf numFmtId="0" fontId="0" fillId="3" borderId="128" xfId="0" applyFill="1" applyBorder="1" applyAlignment="1">
      <alignment vertical="top"/>
    </xf>
    <xf numFmtId="0" fontId="0" fillId="0" borderId="133" xfId="0" applyBorder="1" applyAlignment="1">
      <alignment vertical="top"/>
    </xf>
    <xf numFmtId="0" fontId="0" fillId="3" borderId="63" xfId="0" applyFill="1" applyBorder="1" applyAlignment="1">
      <alignment vertical="top"/>
    </xf>
    <xf numFmtId="0" fontId="0" fillId="3" borderId="127" xfId="0" applyFill="1" applyBorder="1" applyAlignment="1">
      <alignment vertical="top"/>
    </xf>
    <xf numFmtId="0" fontId="0" fillId="3" borderId="136" xfId="0" applyFill="1" applyBorder="1" applyAlignment="1">
      <alignment horizontal="left" vertical="top" wrapText="1"/>
    </xf>
    <xf numFmtId="0" fontId="0" fillId="3" borderId="60" xfId="0" applyFill="1" applyBorder="1" applyAlignment="1">
      <alignment horizontal="left" vertical="top" wrapText="1"/>
    </xf>
    <xf numFmtId="0" fontId="0" fillId="3" borderId="62" xfId="0" applyFill="1" applyBorder="1" applyAlignment="1">
      <alignment horizontal="left" vertical="top" wrapText="1"/>
    </xf>
    <xf numFmtId="0" fontId="0" fillId="3" borderId="46" xfId="0" applyFill="1" applyBorder="1" applyAlignment="1">
      <alignment vertical="top"/>
    </xf>
    <xf numFmtId="3" fontId="29" fillId="7" borderId="0" xfId="0" applyNumberFormat="1" applyFont="1" applyFill="1" applyAlignment="1">
      <alignment vertical="top"/>
    </xf>
    <xf numFmtId="0" fontId="0" fillId="3" borderId="93" xfId="0" applyFill="1" applyBorder="1" applyAlignment="1">
      <alignment vertical="top"/>
    </xf>
    <xf numFmtId="3" fontId="31" fillId="7" borderId="69" xfId="0" applyNumberFormat="1" applyFont="1" applyFill="1" applyBorder="1" applyAlignment="1">
      <alignment vertical="top"/>
    </xf>
    <xf numFmtId="0" fontId="33" fillId="7" borderId="27" xfId="0" applyFont="1" applyFill="1" applyBorder="1" applyAlignment="1">
      <alignment vertical="top"/>
    </xf>
    <xf numFmtId="0" fontId="31" fillId="7" borderId="27" xfId="0" applyFont="1" applyFill="1" applyBorder="1" applyAlignment="1">
      <alignment vertical="top"/>
    </xf>
    <xf numFmtId="0" fontId="33" fillId="7" borderId="66" xfId="0" applyFont="1" applyFill="1" applyBorder="1" applyAlignment="1">
      <alignment vertical="top"/>
    </xf>
    <xf numFmtId="3" fontId="31" fillId="7" borderId="27" xfId="0" applyNumberFormat="1" applyFont="1" applyFill="1" applyBorder="1" applyAlignment="1">
      <alignment vertical="top"/>
    </xf>
    <xf numFmtId="0" fontId="33" fillId="7" borderId="29" xfId="0" applyFont="1" applyFill="1" applyBorder="1" applyAlignment="1">
      <alignment vertical="top"/>
    </xf>
    <xf numFmtId="0" fontId="0" fillId="3" borderId="76" xfId="0" applyFill="1" applyBorder="1" applyAlignment="1">
      <alignment vertical="top"/>
    </xf>
    <xf numFmtId="3" fontId="28" fillId="7" borderId="0" xfId="0" applyNumberFormat="1" applyFont="1" applyFill="1" applyAlignment="1">
      <alignment vertical="top"/>
    </xf>
    <xf numFmtId="0" fontId="0" fillId="3" borderId="19" xfId="0" applyFill="1" applyBorder="1" applyAlignment="1">
      <alignment vertical="top"/>
    </xf>
    <xf numFmtId="0" fontId="0" fillId="0" borderId="80" xfId="0" applyBorder="1" applyAlignment="1">
      <alignment vertical="top"/>
    </xf>
    <xf numFmtId="164" fontId="29" fillId="4" borderId="24" xfId="0" applyNumberFormat="1" applyFont="1" applyFill="1" applyBorder="1" applyAlignment="1">
      <alignment horizontal="center" vertical="top" wrapText="1"/>
    </xf>
    <xf numFmtId="0" fontId="29" fillId="0" borderId="26" xfId="0" applyFont="1" applyBorder="1" applyAlignment="1">
      <alignment vertical="top" wrapText="1"/>
    </xf>
    <xf numFmtId="0" fontId="29" fillId="0" borderId="35" xfId="0" applyFont="1" applyBorder="1" applyAlignment="1">
      <alignment vertical="top" wrapText="1"/>
    </xf>
    <xf numFmtId="0" fontId="55" fillId="0" borderId="0" xfId="0" applyFont="1"/>
    <xf numFmtId="0" fontId="0" fillId="4" borderId="28" xfId="0" applyFill="1" applyBorder="1" applyAlignment="1">
      <alignment vertical="top"/>
    </xf>
    <xf numFmtId="0" fontId="0" fillId="4" borderId="27" xfId="0" applyFill="1" applyBorder="1" applyAlignment="1">
      <alignment vertical="top"/>
    </xf>
    <xf numFmtId="0" fontId="0" fillId="0" borderId="27" xfId="0" applyBorder="1" applyAlignment="1">
      <alignment vertical="top"/>
    </xf>
    <xf numFmtId="0" fontId="0" fillId="0" borderId="29" xfId="0" applyBorder="1" applyAlignment="1">
      <alignment vertical="top"/>
    </xf>
    <xf numFmtId="0" fontId="2" fillId="2" borderId="67" xfId="0" applyFont="1" applyFill="1" applyBorder="1" applyAlignment="1">
      <alignment vertical="top" wrapText="1"/>
    </xf>
    <xf numFmtId="0" fontId="2" fillId="2" borderId="68" xfId="0" applyFont="1" applyFill="1" applyBorder="1" applyAlignment="1">
      <alignment vertical="top" wrapText="1"/>
    </xf>
    <xf numFmtId="0" fontId="2" fillId="2" borderId="5" xfId="0" applyFont="1" applyFill="1" applyBorder="1" applyAlignment="1">
      <alignment vertical="top" wrapText="1"/>
    </xf>
    <xf numFmtId="0" fontId="0" fillId="2" borderId="5" xfId="0" applyFill="1" applyBorder="1" applyAlignment="1">
      <alignment vertical="top" wrapText="1"/>
    </xf>
    <xf numFmtId="0" fontId="0" fillId="2" borderId="67" xfId="0" applyFill="1" applyBorder="1" applyAlignment="1">
      <alignment vertical="top" wrapText="1"/>
    </xf>
    <xf numFmtId="0" fontId="2" fillId="2" borderId="93" xfId="0" applyFont="1" applyFill="1" applyBorder="1" applyAlignment="1">
      <alignment vertical="top" wrapText="1"/>
    </xf>
    <xf numFmtId="0" fontId="0" fillId="2" borderId="93" xfId="0" applyFill="1" applyBorder="1" applyAlignment="1">
      <alignment vertical="top" wrapText="1"/>
    </xf>
    <xf numFmtId="0" fontId="0" fillId="2" borderId="69" xfId="0" applyFill="1" applyBorder="1" applyAlignment="1">
      <alignment vertical="top" wrapText="1"/>
    </xf>
    <xf numFmtId="0" fontId="3" fillId="0" borderId="69" xfId="0" applyFont="1" applyBorder="1" applyAlignment="1">
      <alignment horizontal="left" vertical="top" wrapText="1"/>
    </xf>
    <xf numFmtId="0" fontId="3" fillId="0" borderId="27" xfId="0" applyFont="1" applyBorder="1" applyAlignment="1">
      <alignment horizontal="left" vertical="top" wrapText="1"/>
    </xf>
    <xf numFmtId="1" fontId="1" fillId="4" borderId="92" xfId="0" applyNumberFormat="1" applyFont="1" applyFill="1" applyBorder="1" applyAlignment="1">
      <alignment horizontal="center" vertical="top" wrapText="1"/>
    </xf>
    <xf numFmtId="0" fontId="1" fillId="0" borderId="93" xfId="0" applyFont="1" applyBorder="1" applyAlignment="1">
      <alignment horizontal="center" vertical="top" wrapText="1"/>
    </xf>
    <xf numFmtId="0" fontId="1" fillId="0" borderId="91" xfId="0" applyFont="1" applyBorder="1" applyAlignment="1">
      <alignment horizontal="center" vertical="top" wrapText="1"/>
    </xf>
    <xf numFmtId="1" fontId="1" fillId="4" borderId="23" xfId="0" applyNumberFormat="1" applyFont="1" applyFill="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0" fillId="8" borderId="11" xfId="0" applyFill="1" applyBorder="1" applyAlignment="1">
      <alignment horizontal="left" vertical="top"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8" borderId="3" xfId="0" applyFill="1" applyBorder="1" applyAlignment="1">
      <alignment horizontal="left" vertical="top" wrapText="1"/>
    </xf>
    <xf numFmtId="0" fontId="0" fillId="0" borderId="3" xfId="0" applyBorder="1" applyAlignment="1">
      <alignment horizontal="left" vertical="top" wrapText="1"/>
    </xf>
    <xf numFmtId="164" fontId="6" fillId="4" borderId="28" xfId="0" applyNumberFormat="1" applyFont="1" applyFill="1" applyBorder="1" applyAlignment="1">
      <alignment horizontal="center" vertical="top" wrapText="1"/>
    </xf>
    <xf numFmtId="0" fontId="0" fillId="0" borderId="27" xfId="0" applyBorder="1" applyAlignment="1">
      <alignment horizontal="center" vertical="top" wrapText="1"/>
    </xf>
    <xf numFmtId="0" fontId="0" fillId="0" borderId="29" xfId="0" applyBorder="1" applyAlignment="1">
      <alignment horizontal="center" vertical="top" wrapText="1"/>
    </xf>
    <xf numFmtId="0" fontId="3" fillId="0" borderId="70" xfId="0" applyFont="1" applyBorder="1" applyAlignment="1">
      <alignment horizontal="left" vertical="top" wrapText="1"/>
    </xf>
    <xf numFmtId="0" fontId="3" fillId="0" borderId="56" xfId="0" applyFont="1" applyBorder="1" applyAlignment="1">
      <alignment horizontal="left" vertical="top" wrapText="1"/>
    </xf>
    <xf numFmtId="0" fontId="0" fillId="0" borderId="56" xfId="0" applyBorder="1" applyAlignment="1">
      <alignment vertical="top"/>
    </xf>
    <xf numFmtId="0" fontId="0" fillId="0" borderId="57" xfId="0" applyBorder="1" applyAlignment="1">
      <alignment vertical="top"/>
    </xf>
    <xf numFmtId="0" fontId="3" fillId="0" borderId="104" xfId="0" applyFont="1" applyBorder="1" applyAlignment="1">
      <alignment horizontal="left" vertical="top" wrapText="1"/>
    </xf>
    <xf numFmtId="0" fontId="0" fillId="0" borderId="104" xfId="0" applyBorder="1" applyAlignment="1">
      <alignment vertical="top"/>
    </xf>
    <xf numFmtId="0" fontId="0" fillId="0" borderId="105" xfId="0" applyBorder="1" applyAlignment="1">
      <alignment vertical="top"/>
    </xf>
    <xf numFmtId="1" fontId="0" fillId="4" borderId="23" xfId="0" applyNumberFormat="1" applyFill="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 fillId="4" borderId="24" xfId="0" applyFont="1" applyFill="1" applyBorder="1" applyAlignment="1">
      <alignment horizontal="center" vertical="top" wrapText="1"/>
    </xf>
    <xf numFmtId="0" fontId="1" fillId="4" borderId="25" xfId="0" applyFont="1" applyFill="1" applyBorder="1" applyAlignment="1">
      <alignment horizontal="center" vertical="top" wrapText="1"/>
    </xf>
    <xf numFmtId="0" fontId="3" fillId="0" borderId="59" xfId="0" applyFont="1" applyBorder="1" applyAlignment="1">
      <alignment horizontal="left" vertical="top" wrapText="1"/>
    </xf>
    <xf numFmtId="0" fontId="3" fillId="0" borderId="77" xfId="0" applyFont="1" applyBorder="1" applyAlignment="1">
      <alignment horizontal="left" vertical="top" wrapText="1"/>
    </xf>
    <xf numFmtId="0" fontId="3" fillId="0" borderId="28" xfId="0" applyFont="1" applyBorder="1" applyAlignment="1">
      <alignment horizontal="left" vertical="top" wrapText="1"/>
    </xf>
    <xf numFmtId="0" fontId="3" fillId="0" borderId="91" xfId="0" applyFont="1" applyBorder="1" applyAlignment="1">
      <alignment horizontal="left" vertical="top" wrapText="1"/>
    </xf>
    <xf numFmtId="0" fontId="0" fillId="4" borderId="23" xfId="0" applyFill="1" applyBorder="1" applyAlignment="1">
      <alignment vertical="top"/>
    </xf>
    <xf numFmtId="0" fontId="0" fillId="4" borderId="24" xfId="0" applyFill="1" applyBorder="1" applyAlignment="1">
      <alignment vertical="top"/>
    </xf>
    <xf numFmtId="0" fontId="0" fillId="4" borderId="25" xfId="0" applyFill="1" applyBorder="1" applyAlignment="1">
      <alignment vertical="top"/>
    </xf>
    <xf numFmtId="0" fontId="3" fillId="0" borderId="23"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0" fillId="2" borderId="6" xfId="0" applyFill="1" applyBorder="1" applyAlignment="1">
      <alignment vertical="top" wrapText="1"/>
    </xf>
    <xf numFmtId="0" fontId="2" fillId="2" borderId="108" xfId="0" applyFont="1" applyFill="1" applyBorder="1" applyAlignment="1">
      <alignment vertical="top" wrapText="1"/>
    </xf>
    <xf numFmtId="0" fontId="0" fillId="2" borderId="108" xfId="0" applyFill="1" applyBorder="1" applyAlignment="1">
      <alignment vertical="top" wrapText="1"/>
    </xf>
    <xf numFmtId="0" fontId="0" fillId="2" borderId="109" xfId="0" applyFill="1" applyBorder="1" applyAlignment="1">
      <alignment vertical="top" wrapText="1"/>
    </xf>
    <xf numFmtId="0" fontId="2" fillId="11" borderId="11" xfId="0" applyFont="1" applyFill="1" applyBorder="1" applyAlignment="1" applyProtection="1">
      <alignment vertical="top" wrapText="1"/>
      <protection locked="0"/>
    </xf>
    <xf numFmtId="0" fontId="0" fillId="0" borderId="20" xfId="0" applyBorder="1" applyAlignment="1">
      <alignment vertical="top" wrapText="1"/>
    </xf>
    <xf numFmtId="0" fontId="0" fillId="0" borderId="19" xfId="0" applyBorder="1" applyAlignment="1">
      <alignment vertical="top" wrapText="1"/>
    </xf>
    <xf numFmtId="0" fontId="0" fillId="0" borderId="0" xfId="0" applyAlignment="1">
      <alignment vertical="top" wrapText="1"/>
    </xf>
    <xf numFmtId="0" fontId="29" fillId="6" borderId="85" xfId="0" applyFont="1" applyFill="1" applyBorder="1" applyAlignment="1">
      <alignment horizontal="center" vertical="top" wrapText="1"/>
    </xf>
    <xf numFmtId="0" fontId="29" fillId="6" borderId="66" xfId="0" applyFont="1" applyFill="1" applyBorder="1" applyAlignment="1">
      <alignment horizontal="center" vertical="top" wrapText="1"/>
    </xf>
    <xf numFmtId="0" fontId="32" fillId="6" borderId="62" xfId="0" applyFont="1" applyFill="1" applyBorder="1" applyAlignment="1">
      <alignment horizontal="center" vertical="top" wrapText="1"/>
    </xf>
    <xf numFmtId="0" fontId="32" fillId="6" borderId="63" xfId="0" applyFont="1" applyFill="1" applyBorder="1" applyAlignment="1">
      <alignment horizontal="center" vertical="top" wrapText="1"/>
    </xf>
    <xf numFmtId="0" fontId="29" fillId="6" borderId="29" xfId="0" applyFont="1" applyFill="1" applyBorder="1" applyAlignment="1">
      <alignment horizontal="center" vertical="top" wrapText="1"/>
    </xf>
    <xf numFmtId="0" fontId="32" fillId="6" borderId="55" xfId="0" applyFont="1" applyFill="1" applyBorder="1" applyAlignment="1">
      <alignment horizontal="center" vertical="top" wrapText="1"/>
    </xf>
    <xf numFmtId="0" fontId="31" fillId="6" borderId="83" xfId="0" applyFont="1" applyFill="1" applyBorder="1" applyAlignment="1">
      <alignment horizontal="center" vertical="top" wrapText="1"/>
    </xf>
    <xf numFmtId="0" fontId="31" fillId="6" borderId="86" xfId="0" applyFont="1" applyFill="1" applyBorder="1" applyAlignment="1">
      <alignment horizontal="center" vertical="top" wrapText="1"/>
    </xf>
    <xf numFmtId="0" fontId="31" fillId="6" borderId="84" xfId="0" applyFont="1" applyFill="1" applyBorder="1" applyAlignment="1">
      <alignment horizontal="center" vertical="top"/>
    </xf>
    <xf numFmtId="0" fontId="31" fillId="6" borderId="60" xfId="0" applyFont="1" applyFill="1" applyBorder="1" applyAlignment="1">
      <alignment horizontal="center" vertical="top"/>
    </xf>
    <xf numFmtId="0" fontId="29" fillId="6" borderId="27" xfId="0" applyFont="1" applyFill="1" applyBorder="1" applyAlignment="1">
      <alignment horizontal="center" vertical="top" wrapText="1"/>
    </xf>
    <xf numFmtId="0" fontId="0" fillId="0" borderId="66" xfId="0" applyBorder="1" applyAlignment="1">
      <alignment horizontal="center" vertical="top" wrapText="1"/>
    </xf>
    <xf numFmtId="0" fontId="0" fillId="0" borderId="0" xfId="0" applyAlignment="1">
      <alignment horizontal="center" vertical="top" wrapText="1"/>
    </xf>
    <xf numFmtId="0" fontId="0" fillId="0" borderId="63" xfId="0" applyBorder="1" applyAlignment="1">
      <alignment horizontal="center" vertical="top" wrapText="1"/>
    </xf>
    <xf numFmtId="0" fontId="0" fillId="3" borderId="95" xfId="0" applyFill="1" applyBorder="1" applyAlignment="1">
      <alignment horizontal="left" vertical="top" wrapText="1"/>
    </xf>
    <xf numFmtId="0" fontId="0" fillId="3" borderId="132" xfId="0" applyFill="1" applyBorder="1" applyAlignment="1">
      <alignment horizontal="left" vertical="top" wrapText="1"/>
    </xf>
    <xf numFmtId="0" fontId="0" fillId="3" borderId="135" xfId="0" applyFill="1" applyBorder="1" applyAlignment="1">
      <alignment horizontal="left" vertical="top" wrapText="1"/>
    </xf>
    <xf numFmtId="0" fontId="0" fillId="3" borderId="4" xfId="0" applyFill="1" applyBorder="1" applyAlignment="1">
      <alignment horizontal="left" vertical="top" wrapText="1"/>
    </xf>
    <xf numFmtId="0" fontId="0" fillId="3" borderId="13" xfId="0" applyFill="1" applyBorder="1" applyAlignment="1">
      <alignment horizontal="left" vertical="top" wrapText="1"/>
    </xf>
    <xf numFmtId="0" fontId="0" fillId="3" borderId="115" xfId="0" applyFill="1" applyBorder="1" applyAlignment="1">
      <alignment horizontal="left" vertical="top" wrapText="1"/>
    </xf>
    <xf numFmtId="0" fontId="0" fillId="3" borderId="5" xfId="0" applyFill="1" applyBorder="1" applyAlignment="1">
      <alignment horizontal="left" vertical="top" wrapText="1"/>
    </xf>
    <xf numFmtId="0" fontId="0" fillId="3" borderId="3" xfId="0" applyFill="1" applyBorder="1" applyAlignment="1">
      <alignment horizontal="left" vertical="top" wrapText="1"/>
    </xf>
    <xf numFmtId="0" fontId="0" fillId="3" borderId="16" xfId="0" applyFill="1" applyBorder="1" applyAlignment="1">
      <alignment horizontal="left" vertical="top" wrapText="1"/>
    </xf>
    <xf numFmtId="0" fontId="0" fillId="3" borderId="18" xfId="0" applyFill="1" applyBorder="1" applyAlignment="1">
      <alignment horizontal="left" vertical="top" wrapText="1"/>
    </xf>
    <xf numFmtId="0" fontId="0" fillId="3" borderId="21" xfId="0" applyFill="1" applyBorder="1" applyAlignment="1">
      <alignment horizontal="left" vertical="top" wrapText="1"/>
    </xf>
    <xf numFmtId="0" fontId="0" fillId="3" borderId="96" xfId="0" applyFill="1" applyBorder="1" applyAlignment="1">
      <alignment horizontal="left" vertical="top" wrapText="1"/>
    </xf>
    <xf numFmtId="0" fontId="0" fillId="3" borderId="119" xfId="0" applyFill="1" applyBorder="1" applyAlignment="1">
      <alignment horizontal="left" vertical="top" wrapText="1"/>
    </xf>
    <xf numFmtId="0" fontId="0" fillId="3" borderId="120" xfId="0" applyFill="1" applyBorder="1" applyAlignment="1">
      <alignment horizontal="left" vertical="top" wrapText="1"/>
    </xf>
    <xf numFmtId="0" fontId="0" fillId="3" borderId="116" xfId="0" applyFill="1" applyBorder="1" applyAlignment="1">
      <alignment horizontal="left" vertical="top" wrapText="1"/>
    </xf>
    <xf numFmtId="0" fontId="0" fillId="3" borderId="121" xfId="0" applyFill="1" applyBorder="1" applyAlignment="1">
      <alignment horizontal="left" vertical="top" wrapText="1"/>
    </xf>
    <xf numFmtId="0" fontId="0" fillId="3" borderId="123" xfId="0" applyFill="1" applyBorder="1" applyAlignment="1">
      <alignment horizontal="left" vertical="top" wrapText="1"/>
    </xf>
    <xf numFmtId="0" fontId="0" fillId="0" borderId="0" xfId="0" applyAlignment="1">
      <alignment horizontal="left" vertical="top" wrapText="1"/>
    </xf>
    <xf numFmtId="0" fontId="43" fillId="9" borderId="3" xfId="0" applyFont="1" applyFill="1" applyBorder="1" applyAlignment="1">
      <alignment horizontal="center" vertical="top" wrapText="1"/>
    </xf>
    <xf numFmtId="0" fontId="0" fillId="0" borderId="3" xfId="0" applyBorder="1" applyAlignment="1">
      <alignment horizontal="center" vertical="top" wrapText="1"/>
    </xf>
    <xf numFmtId="0" fontId="43" fillId="9" borderId="3" xfId="0" applyFont="1" applyFill="1" applyBorder="1" applyAlignment="1">
      <alignment horizontal="left" vertical="top" wrapText="1"/>
    </xf>
    <xf numFmtId="3" fontId="44" fillId="0" borderId="45" xfId="0" applyNumberFormat="1" applyFont="1" applyBorder="1" applyAlignment="1">
      <alignment horizontal="left" vertical="top" wrapText="1"/>
    </xf>
    <xf numFmtId="3" fontId="44" fillId="0" borderId="44" xfId="0" applyNumberFormat="1" applyFont="1" applyBorder="1" applyAlignment="1">
      <alignment horizontal="left" vertical="top" wrapText="1"/>
    </xf>
    <xf numFmtId="0" fontId="0" fillId="0" borderId="44" xfId="0" applyBorder="1" applyAlignment="1">
      <alignment vertical="top"/>
    </xf>
    <xf numFmtId="0" fontId="6" fillId="4" borderId="21" xfId="0" applyFont="1" applyFill="1" applyBorder="1" applyAlignment="1">
      <alignment horizontal="center" vertical="top" wrapText="1"/>
    </xf>
    <xf numFmtId="0" fontId="6" fillId="4" borderId="1" xfId="0" applyFont="1" applyFill="1" applyBorder="1" applyAlignment="1">
      <alignment horizontal="center" vertical="top" wrapText="1"/>
    </xf>
    <xf numFmtId="0" fontId="50" fillId="4" borderId="11" xfId="0" applyFont="1" applyFill="1" applyBorder="1" applyAlignment="1">
      <alignment horizontal="center" vertical="top" wrapText="1"/>
    </xf>
    <xf numFmtId="0" fontId="0" fillId="4" borderId="20" xfId="0" applyFill="1" applyBorder="1" applyAlignment="1">
      <alignment horizontal="center" vertical="top" wrapText="1"/>
    </xf>
    <xf numFmtId="0" fontId="0" fillId="4" borderId="19" xfId="0" applyFill="1" applyBorder="1" applyAlignment="1">
      <alignment horizontal="center" vertical="top" wrapText="1"/>
    </xf>
    <xf numFmtId="0" fontId="52" fillId="4" borderId="11" xfId="0" applyFont="1" applyFill="1" applyBorder="1" applyAlignment="1">
      <alignment horizontal="center" vertical="top" wrapText="1"/>
    </xf>
    <xf numFmtId="0" fontId="52" fillId="4" borderId="21" xfId="0" applyFont="1" applyFill="1" applyBorder="1" applyAlignment="1">
      <alignment horizontal="center" vertical="top" wrapText="1"/>
    </xf>
    <xf numFmtId="0" fontId="52" fillId="4" borderId="1" xfId="0" applyFont="1" applyFill="1" applyBorder="1" applyAlignment="1">
      <alignment horizontal="center" vertical="top" wrapText="1"/>
    </xf>
  </cellXfs>
  <cellStyles count="2">
    <cellStyle name="Hea" xfId="1" builtinId="26"/>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Eelarve täitmine 31.12.2023 liikide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'Ettekande arvutused'!$C$5</c:f>
              <c:strCache>
                <c:ptCount val="1"/>
                <c:pt idx="0">
                  <c:v>Eelarve​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arvutused'!$B$7:$B$9</c:f>
              <c:strCache>
                <c:ptCount val="3"/>
                <c:pt idx="0">
                  <c:v>Riigieelarve​</c:v>
                </c:pt>
                <c:pt idx="1">
                  <c:v>Välistoetused​</c:v>
                </c:pt>
                <c:pt idx="2">
                  <c:v>Muud​ (liikmemaks)</c:v>
                </c:pt>
              </c:strCache>
            </c:strRef>
          </c:cat>
          <c:val>
            <c:numRef>
              <c:f>'Ettekande arvutused'!$C$7:$C$9</c:f>
              <c:numCache>
                <c:formatCode>#,##0</c:formatCode>
                <c:ptCount val="3"/>
                <c:pt idx="0">
                  <c:v>120000</c:v>
                </c:pt>
                <c:pt idx="1">
                  <c:v>161235</c:v>
                </c:pt>
                <c:pt idx="2">
                  <c:v>75000</c:v>
                </c:pt>
              </c:numCache>
            </c:numRef>
          </c:val>
          <c:extLst>
            <c:ext xmlns:c16="http://schemas.microsoft.com/office/drawing/2014/chart" uri="{C3380CC4-5D6E-409C-BE32-E72D297353CC}">
              <c16:uniqueId val="{00000000-0AB7-4595-B18C-B49384EC5222}"/>
            </c:ext>
          </c:extLst>
        </c:ser>
        <c:ser>
          <c:idx val="1"/>
          <c:order val="1"/>
          <c:tx>
            <c:strRef>
              <c:f>'Ettekande arvutused'!$D$5</c:f>
              <c:strCache>
                <c:ptCount val="1"/>
                <c:pt idx="0">
                  <c:v>Täitmine​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arvutused'!$B$7:$B$9</c:f>
              <c:strCache>
                <c:ptCount val="3"/>
                <c:pt idx="0">
                  <c:v>Riigieelarve​</c:v>
                </c:pt>
                <c:pt idx="1">
                  <c:v>Välistoetused​</c:v>
                </c:pt>
                <c:pt idx="2">
                  <c:v>Muud​ (liikmemaks)</c:v>
                </c:pt>
              </c:strCache>
            </c:strRef>
          </c:cat>
          <c:val>
            <c:numRef>
              <c:f>'Ettekande arvutused'!$D$7:$D$9</c:f>
              <c:numCache>
                <c:formatCode>#,##0</c:formatCode>
                <c:ptCount val="3"/>
                <c:pt idx="0">
                  <c:v>120000</c:v>
                </c:pt>
                <c:pt idx="1">
                  <c:v>121017</c:v>
                </c:pt>
                <c:pt idx="2">
                  <c:v>75000</c:v>
                </c:pt>
              </c:numCache>
            </c:numRef>
          </c:val>
          <c:extLst>
            <c:ext xmlns:c16="http://schemas.microsoft.com/office/drawing/2014/chart" uri="{C3380CC4-5D6E-409C-BE32-E72D297353CC}">
              <c16:uniqueId val="{00000001-0AB7-4595-B18C-B49384EC5222}"/>
            </c:ext>
          </c:extLst>
        </c:ser>
        <c:dLbls>
          <c:showLegendKey val="0"/>
          <c:showVal val="0"/>
          <c:showCatName val="0"/>
          <c:showSerName val="0"/>
          <c:showPercent val="0"/>
          <c:showBubbleSize val="0"/>
        </c:dLbls>
        <c:gapWidth val="150"/>
        <c:shape val="box"/>
        <c:axId val="868255807"/>
        <c:axId val="1242469199"/>
        <c:axId val="0"/>
      </c:bar3DChart>
      <c:catAx>
        <c:axId val="86825580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42469199"/>
        <c:crosses val="autoZero"/>
        <c:auto val="1"/>
        <c:lblAlgn val="ctr"/>
        <c:lblOffset val="100"/>
        <c:noMultiLvlLbl val="0"/>
      </c:catAx>
      <c:valAx>
        <c:axId val="1242469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68255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a:t>
            </a:r>
            <a:r>
              <a:rPr lang="et-EE"/>
              <a:t>elarve</a:t>
            </a:r>
            <a:r>
              <a:rPr lang="et-EE" baseline="0"/>
              <a:t> täitmine 31.12.2023 majandusliku sisu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'Ettekande arvutused'!$C$19</c:f>
              <c:strCache>
                <c:ptCount val="1"/>
                <c:pt idx="0">
                  <c:v>Eelarve​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'Ettekande arvutused'!$B$21:$B$24</c15:sqref>
                  </c15:fullRef>
                </c:ext>
              </c:extLst>
              <c:f>'Ettekande arvutused'!$B$21:$B$23</c:f>
              <c:strCache>
                <c:ptCount val="3"/>
                <c:pt idx="0">
                  <c:v>Investeeringud​</c:v>
                </c:pt>
                <c:pt idx="1">
                  <c:v>Tööjõukulud</c:v>
                </c:pt>
                <c:pt idx="2">
                  <c:v>​Majandamiskulud​</c:v>
                </c:pt>
              </c:strCache>
            </c:strRef>
          </c:cat>
          <c:val>
            <c:numRef>
              <c:extLst>
                <c:ext xmlns:c15="http://schemas.microsoft.com/office/drawing/2012/chart" uri="{02D57815-91ED-43cb-92C2-25804820EDAC}">
                  <c15:fullRef>
                    <c15:sqref>'Ettekande arvutused'!$C$21:$C$24</c15:sqref>
                  </c15:fullRef>
                </c:ext>
              </c:extLst>
              <c:f>'Ettekande arvutused'!$C$21:$C$23</c:f>
              <c:numCache>
                <c:formatCode>#,##0</c:formatCode>
                <c:ptCount val="3"/>
                <c:pt idx="0">
                  <c:v>143022</c:v>
                </c:pt>
                <c:pt idx="1">
                  <c:v>189218</c:v>
                </c:pt>
                <c:pt idx="2">
                  <c:v>23980</c:v>
                </c:pt>
              </c:numCache>
            </c:numRef>
          </c:val>
          <c:extLst>
            <c:ext xmlns:c16="http://schemas.microsoft.com/office/drawing/2014/chart" uri="{C3380CC4-5D6E-409C-BE32-E72D297353CC}">
              <c16:uniqueId val="{00000000-4022-4775-9C6F-A9A7DDDADAE0}"/>
            </c:ext>
          </c:extLst>
        </c:ser>
        <c:ser>
          <c:idx val="1"/>
          <c:order val="1"/>
          <c:tx>
            <c:strRef>
              <c:f>'Ettekande arvutused'!$D$19</c:f>
              <c:strCache>
                <c:ptCount val="1"/>
                <c:pt idx="0">
                  <c:v>Täitmine​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'Ettekande arvutused'!$B$21:$B$24</c15:sqref>
                  </c15:fullRef>
                </c:ext>
              </c:extLst>
              <c:f>'Ettekande arvutused'!$B$21:$B$23</c:f>
              <c:strCache>
                <c:ptCount val="3"/>
                <c:pt idx="0">
                  <c:v>Investeeringud​</c:v>
                </c:pt>
                <c:pt idx="1">
                  <c:v>Tööjõukulud</c:v>
                </c:pt>
                <c:pt idx="2">
                  <c:v>​Majandamiskulud​</c:v>
                </c:pt>
              </c:strCache>
            </c:strRef>
          </c:cat>
          <c:val>
            <c:numRef>
              <c:extLst>
                <c:ext xmlns:c15="http://schemas.microsoft.com/office/drawing/2012/chart" uri="{02D57815-91ED-43cb-92C2-25804820EDAC}">
                  <c15:fullRef>
                    <c15:sqref>'Ettekande arvutused'!$D$21:$D$24</c15:sqref>
                  </c15:fullRef>
                </c:ext>
              </c:extLst>
              <c:f>'Ettekande arvutused'!$D$21:$D$23</c:f>
              <c:numCache>
                <c:formatCode>#,##0</c:formatCode>
                <c:ptCount val="3"/>
                <c:pt idx="0">
                  <c:v>143022</c:v>
                </c:pt>
                <c:pt idx="1">
                  <c:v>155000</c:v>
                </c:pt>
                <c:pt idx="2">
                  <c:v>17980</c:v>
                </c:pt>
              </c:numCache>
            </c:numRef>
          </c:val>
          <c:extLst>
            <c:ext xmlns:c16="http://schemas.microsoft.com/office/drawing/2014/chart" uri="{C3380CC4-5D6E-409C-BE32-E72D297353CC}">
              <c16:uniqueId val="{00000001-4022-4775-9C6F-A9A7DDDADAE0}"/>
            </c:ext>
          </c:extLst>
        </c:ser>
        <c:dLbls>
          <c:showLegendKey val="0"/>
          <c:showVal val="0"/>
          <c:showCatName val="0"/>
          <c:showSerName val="0"/>
          <c:showPercent val="0"/>
          <c:showBubbleSize val="0"/>
        </c:dLbls>
        <c:gapWidth val="150"/>
        <c:shape val="box"/>
        <c:axId val="865280911"/>
        <c:axId val="1243496719"/>
        <c:axId val="0"/>
      </c:bar3DChart>
      <c:catAx>
        <c:axId val="86528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43496719"/>
        <c:crosses val="autoZero"/>
        <c:auto val="1"/>
        <c:lblAlgn val="ctr"/>
        <c:lblOffset val="100"/>
        <c:noMultiLvlLbl val="0"/>
      </c:catAx>
      <c:valAx>
        <c:axId val="124349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65280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arvutused'!$F$69:$H$69</c:f>
              <c:strCache>
                <c:ptCount val="1"/>
                <c:pt idx="0">
                  <c:v>Seisuga 01.01.2024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0C-4D65-9DCC-8A5B816E80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0C-4D65-9DCC-8A5B816E80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0C-4D65-9DCC-8A5B816E80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60C-4D65-9DCC-8A5B816E80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60C-4D65-9DCC-8A5B816E80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2-3BCC-4562-8BFD-4178425FB4F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60C-4D65-9DCC-8A5B816E80E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60C-4D65-9DCC-8A5B816E80E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60C-4D65-9DCC-8A5B816E80E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60C-4D65-9DCC-8A5B816E80E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60C-4D65-9DCC-8A5B816E80E2}"/>
              </c:ext>
            </c:extLst>
          </c:dPt>
          <c:dLbls>
            <c:dLbl>
              <c:idx val="5"/>
              <c:layout>
                <c:manualLayout>
                  <c:x val="7.4844506879518546E-2"/>
                  <c:y val="-5.5307028296243811E-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BCC-4562-8BFD-4178425FB4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arvutused'!$B$72:$B$82</c:f>
              <c:strCache>
                <c:ptCount val="11"/>
                <c:pt idx="0">
                  <c:v>andmekorraldusanalüütik​</c:v>
                </c:pt>
                <c:pt idx="1">
                  <c:v>andmekvaliteedi kontrolli spetsialist​</c:v>
                </c:pt>
                <c:pt idx="2">
                  <c:v>andmelao arendaja​</c:v>
                </c:pt>
                <c:pt idx="3">
                  <c:v>jurist - ei ole kavas lähiajal täita​</c:v>
                </c:pt>
                <c:pt idx="4">
                  <c:v>projektijuht​</c:v>
                </c:pt>
                <c:pt idx="5">
                  <c:v>rakenduste administraator​</c:v>
                </c:pt>
                <c:pt idx="6">
                  <c:v>riskijuht​</c:v>
                </c:pt>
                <c:pt idx="7">
                  <c:v>süsteemiadministraator​</c:v>
                </c:pt>
                <c:pt idx="8">
                  <c:v>tarkvara arhitekt​</c:v>
                </c:pt>
                <c:pt idx="9">
                  <c:v>testija​</c:v>
                </c:pt>
                <c:pt idx="10">
                  <c:v>tooteomanik​</c:v>
                </c:pt>
              </c:strCache>
            </c:strRef>
          </c:cat>
          <c:val>
            <c:numRef>
              <c:f>'Ettekande arvutused'!$F$72:$F$82</c:f>
              <c:numCache>
                <c:formatCode>#,##0</c:formatCode>
                <c:ptCount val="11"/>
                <c:pt idx="0">
                  <c:v>2</c:v>
                </c:pt>
                <c:pt idx="1">
                  <c:v>5</c:v>
                </c:pt>
                <c:pt idx="2">
                  <c:v>2</c:v>
                </c:pt>
                <c:pt idx="3">
                  <c:v>2</c:v>
                </c:pt>
                <c:pt idx="4">
                  <c:v>4</c:v>
                </c:pt>
                <c:pt idx="5">
                  <c:v>0</c:v>
                </c:pt>
                <c:pt idx="6">
                  <c:v>2</c:v>
                </c:pt>
                <c:pt idx="7">
                  <c:v>2</c:v>
                </c:pt>
                <c:pt idx="8">
                  <c:v>1</c:v>
                </c:pt>
                <c:pt idx="9">
                  <c:v>5</c:v>
                </c:pt>
                <c:pt idx="10">
                  <c:v>3</c:v>
                </c:pt>
              </c:numCache>
            </c:numRef>
          </c:val>
          <c:extLst>
            <c:ext xmlns:c16="http://schemas.microsoft.com/office/drawing/2014/chart" uri="{C3380CC4-5D6E-409C-BE32-E72D297353CC}">
              <c16:uniqueId val="{00000000-3BCC-4562-8BFD-4178425FB4F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7-F60C-4D65-9DCC-8A5B816E80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9-F60C-4D65-9DCC-8A5B816E80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B-F60C-4D65-9DCC-8A5B816E80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D-F60C-4D65-9DCC-8A5B816E80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F-F60C-4D65-9DCC-8A5B816E80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1-F60C-4D65-9DCC-8A5B816E80E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3-F60C-4D65-9DCC-8A5B816E80E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5-F60C-4D65-9DCC-8A5B816E80E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7-F60C-4D65-9DCC-8A5B816E80E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9-F60C-4D65-9DCC-8A5B816E80E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B-F60C-4D65-9DCC-8A5B816E80E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arvutused'!$B$72:$B$82</c:f>
              <c:strCache>
                <c:ptCount val="11"/>
                <c:pt idx="0">
                  <c:v>andmekorraldusanalüütik​</c:v>
                </c:pt>
                <c:pt idx="1">
                  <c:v>andmekvaliteedi kontrolli spetsialist​</c:v>
                </c:pt>
                <c:pt idx="2">
                  <c:v>andmelao arendaja​</c:v>
                </c:pt>
                <c:pt idx="3">
                  <c:v>jurist - ei ole kavas lähiajal täita​</c:v>
                </c:pt>
                <c:pt idx="4">
                  <c:v>projektijuht​</c:v>
                </c:pt>
                <c:pt idx="5">
                  <c:v>rakenduste administraator​</c:v>
                </c:pt>
                <c:pt idx="6">
                  <c:v>riskijuht​</c:v>
                </c:pt>
                <c:pt idx="7">
                  <c:v>süsteemiadministraator​</c:v>
                </c:pt>
                <c:pt idx="8">
                  <c:v>tarkvara arhitekt​</c:v>
                </c:pt>
                <c:pt idx="9">
                  <c:v>testija​</c:v>
                </c:pt>
                <c:pt idx="10">
                  <c:v>tooteomanik​</c:v>
                </c:pt>
              </c:strCache>
            </c:strRef>
          </c:cat>
          <c:val>
            <c:numRef>
              <c:f>'Ettekande arvutused'!$G$72:$G$82</c:f>
              <c:numCache>
                <c:formatCode>#,##0</c:formatCode>
                <c:ptCount val="11"/>
                <c:pt idx="0">
                  <c:v>1</c:v>
                </c:pt>
                <c:pt idx="1">
                  <c:v>0</c:v>
                </c:pt>
                <c:pt idx="2">
                  <c:v>8</c:v>
                </c:pt>
                <c:pt idx="3">
                  <c:v>2</c:v>
                </c:pt>
                <c:pt idx="4">
                  <c:v>2</c:v>
                </c:pt>
                <c:pt idx="5">
                  <c:v>0</c:v>
                </c:pt>
                <c:pt idx="6">
                  <c:v>0</c:v>
                </c:pt>
                <c:pt idx="7">
                  <c:v>1</c:v>
                </c:pt>
                <c:pt idx="8">
                  <c:v>0</c:v>
                </c:pt>
                <c:pt idx="9">
                  <c:v>2</c:v>
                </c:pt>
                <c:pt idx="10">
                  <c:v>1</c:v>
                </c:pt>
              </c:numCache>
            </c:numRef>
          </c:val>
          <c:extLst>
            <c:ext xmlns:c16="http://schemas.microsoft.com/office/drawing/2014/chart" uri="{C3380CC4-5D6E-409C-BE32-E72D297353CC}">
              <c16:uniqueId val="{00000001-3BCC-4562-8BFD-4178425FB4FD}"/>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a:t>
            </a:r>
            <a:r>
              <a:rPr lang="et-EE"/>
              <a:t>024 eelarve liikide lõikes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993-41AF-839E-02F35F62BF0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993-41AF-839E-02F35F62BF0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993-41AF-839E-02F35F62BF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arvutused'!$B$37:$B$39</c:f>
              <c:strCache>
                <c:ptCount val="3"/>
                <c:pt idx="0">
                  <c:v>Riigieelarve​</c:v>
                </c:pt>
                <c:pt idx="1">
                  <c:v>Välistoetused​</c:v>
                </c:pt>
                <c:pt idx="2">
                  <c:v>Muud​</c:v>
                </c:pt>
              </c:strCache>
            </c:strRef>
          </c:cat>
          <c:val>
            <c:numRef>
              <c:f>'Ettekande arvutused'!$C$37:$C$39</c:f>
              <c:numCache>
                <c:formatCode>#,##0</c:formatCode>
                <c:ptCount val="3"/>
                <c:pt idx="0">
                  <c:v>60000</c:v>
                </c:pt>
                <c:pt idx="1">
                  <c:v>689400</c:v>
                </c:pt>
                <c:pt idx="2">
                  <c:v>62000</c:v>
                </c:pt>
              </c:numCache>
            </c:numRef>
          </c:val>
          <c:extLst>
            <c:ext xmlns:c16="http://schemas.microsoft.com/office/drawing/2014/chart" uri="{C3380CC4-5D6E-409C-BE32-E72D297353CC}">
              <c16:uniqueId val="{00000000-856C-4832-863A-D668F99D481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2024 eelarve majandusliku sisu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C19-42A9-8CDF-B6B37E0096C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C19-42A9-8CDF-B6B37E0096C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C19-42A9-8CDF-B6B37E0096C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C19-42A9-8CDF-B6B37E0096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arvutused'!$B$43:$B$46</c:f>
              <c:strCache>
                <c:ptCount val="4"/>
                <c:pt idx="0">
                  <c:v>Investeeringud​</c:v>
                </c:pt>
                <c:pt idx="1">
                  <c:v>Tööjõukulud</c:v>
                </c:pt>
                <c:pt idx="2">
                  <c:v>​Majandamiskulud​</c:v>
                </c:pt>
                <c:pt idx="3">
                  <c:v>​Toetused ja muud</c:v>
                </c:pt>
              </c:strCache>
            </c:strRef>
          </c:cat>
          <c:val>
            <c:numRef>
              <c:f>'Ettekande arvutused'!$C$43:$C$46</c:f>
              <c:numCache>
                <c:formatCode>#,##0</c:formatCode>
                <c:ptCount val="4"/>
                <c:pt idx="0">
                  <c:v>347431</c:v>
                </c:pt>
                <c:pt idx="1">
                  <c:v>215300</c:v>
                </c:pt>
                <c:pt idx="2">
                  <c:v>307000</c:v>
                </c:pt>
                <c:pt idx="3">
                  <c:v>0</c:v>
                </c:pt>
              </c:numCache>
            </c:numRef>
          </c:val>
          <c:extLst>
            <c:ext xmlns:c16="http://schemas.microsoft.com/office/drawing/2014/chart" uri="{C3380CC4-5D6E-409C-BE32-E72D297353CC}">
              <c16:uniqueId val="{00000000-F923-4FEF-8CE1-81C93C7E4E9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arvutused'!$C$69:$E$69</c:f>
              <c:strCache>
                <c:ptCount val="3"/>
                <c:pt idx="0">
                  <c:v>Seisuga 01.01.2023</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E8A-4E92-8B8C-A6FB375009B5}"/>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E8A-4E92-8B8C-A6FB375009B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t-EE"/>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'Ettekande arvutused'!$C$70:$E$70</c15:sqref>
                  </c15:fullRef>
                </c:ext>
              </c:extLst>
              <c:f>'Ettekande arvutused'!$C$70:$D$70</c:f>
              <c:strCache>
                <c:ptCount val="2"/>
                <c:pt idx="0">
                  <c:v>Täidetud/olemas</c:v>
                </c:pt>
                <c:pt idx="1">
                  <c:v>Täitmata</c:v>
                </c:pt>
              </c:strCache>
            </c:strRef>
          </c:cat>
          <c:val>
            <c:numRef>
              <c:extLst>
                <c:ext xmlns:c15="http://schemas.microsoft.com/office/drawing/2012/chart" uri="{02D57815-91ED-43cb-92C2-25804820EDAC}">
                  <c15:fullRef>
                    <c15:sqref>'Ettekande arvutused'!$C$71:$E$71</c15:sqref>
                  </c15:fullRef>
                </c:ext>
              </c:extLst>
              <c:f>'Ettekande arvutused'!$C$71:$D$71</c:f>
              <c:numCache>
                <c:formatCode>#,##0</c:formatCode>
                <c:ptCount val="2"/>
                <c:pt idx="0">
                  <c:v>26</c:v>
                </c:pt>
                <c:pt idx="1">
                  <c:v>9</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1AAB-4C5A-9881-1B077BF8320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arvutused'!$F$69:$H$69</c:f>
              <c:strCache>
                <c:ptCount val="3"/>
                <c:pt idx="0">
                  <c:v>Seisuga 01.01.2024</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B31-4DE8-BD80-630474D6A997}"/>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B31-4DE8-BD80-630474D6A997}"/>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EE27-44FD-8A89-6F5DD8AA7BC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t-EE"/>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arvutused'!$F$70:$H$70</c:f>
              <c:strCache>
                <c:ptCount val="3"/>
                <c:pt idx="0">
                  <c:v>Täidetud/olemas</c:v>
                </c:pt>
                <c:pt idx="1">
                  <c:v>Täitmata</c:v>
                </c:pt>
                <c:pt idx="2">
                  <c:v>Kokku</c:v>
                </c:pt>
              </c:strCache>
            </c:strRef>
          </c:cat>
          <c:val>
            <c:numRef>
              <c:f>'Ettekande arvutused'!$F$71:$H$71</c:f>
              <c:numCache>
                <c:formatCode>#,##0</c:formatCode>
                <c:ptCount val="3"/>
                <c:pt idx="0">
                  <c:v>28</c:v>
                </c:pt>
                <c:pt idx="1">
                  <c:v>17</c:v>
                </c:pt>
                <c:pt idx="2">
                  <c:v>45</c:v>
                </c:pt>
              </c:numCache>
            </c:numRef>
          </c:val>
          <c:extLst>
            <c:ext xmlns:c16="http://schemas.microsoft.com/office/drawing/2014/chart" uri="{C3380CC4-5D6E-409C-BE32-E72D297353CC}">
              <c16:uniqueId val="{00000000-B455-4409-8EF0-D02F2F3C373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Personali</a:t>
            </a:r>
            <a:r>
              <a:rPr lang="et-EE" baseline="0"/>
              <a:t> muutus</a:t>
            </a:r>
            <a:endParaRPr lang="et-E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cke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'Ettekande arvutused'!$C$52:$I$52</c:f>
              <c:strCache>
                <c:ptCount val="7"/>
                <c:pt idx="0">
                  <c:v>01.01.2021</c:v>
                </c:pt>
                <c:pt idx="1">
                  <c:v>01.01.2022</c:v>
                </c:pt>
                <c:pt idx="2">
                  <c:v>01.01.2023</c:v>
                </c:pt>
                <c:pt idx="3">
                  <c:v>01.01.2024</c:v>
                </c:pt>
                <c:pt idx="4">
                  <c:v>01.01.2025*​</c:v>
                </c:pt>
                <c:pt idx="5">
                  <c:v>01.01.2026*​</c:v>
                </c:pt>
                <c:pt idx="6">
                  <c:v>01.01.2027*​</c:v>
                </c:pt>
              </c:strCache>
            </c:strRef>
          </c:cat>
          <c:val>
            <c:numRef>
              <c:f>'Ettekande arvutused'!$C$53:$I$53</c:f>
              <c:numCache>
                <c:formatCode>#,##0</c:formatCode>
                <c:ptCount val="7"/>
                <c:pt idx="0">
                  <c:v>2</c:v>
                </c:pt>
                <c:pt idx="1">
                  <c:v>3</c:v>
                </c:pt>
                <c:pt idx="2">
                  <c:v>3</c:v>
                </c:pt>
                <c:pt idx="3">
                  <c:v>3.5</c:v>
                </c:pt>
                <c:pt idx="4">
                  <c:v>4.5</c:v>
                </c:pt>
                <c:pt idx="5">
                  <c:v>5</c:v>
                </c:pt>
                <c:pt idx="6">
                  <c:v>5</c:v>
                </c:pt>
              </c:numCache>
            </c:numRef>
          </c:val>
          <c:smooth val="0"/>
          <c:extLst>
            <c:ext xmlns:c16="http://schemas.microsoft.com/office/drawing/2014/chart" uri="{C3380CC4-5D6E-409C-BE32-E72D297353CC}">
              <c16:uniqueId val="{00000000-7C94-46C8-9181-4BB478076098}"/>
            </c:ext>
          </c:extLst>
        </c:ser>
        <c:dLbls>
          <c:showLegendKey val="0"/>
          <c:showVal val="0"/>
          <c:showCatName val="0"/>
          <c:showSerName val="0"/>
          <c:showPercent val="0"/>
          <c:showBubbleSize val="0"/>
        </c:dLbls>
        <c:marker val="1"/>
        <c:smooth val="0"/>
        <c:axId val="2014720464"/>
        <c:axId val="337308592"/>
      </c:lineChart>
      <c:lineChart>
        <c:grouping val="stacked"/>
        <c:varyColors val="0"/>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'Ettekande arvutused'!$C$52:$I$52</c:f>
              <c:strCache>
                <c:ptCount val="7"/>
                <c:pt idx="0">
                  <c:v>01.01.2021</c:v>
                </c:pt>
                <c:pt idx="1">
                  <c:v>01.01.2022</c:v>
                </c:pt>
                <c:pt idx="2">
                  <c:v>01.01.2023</c:v>
                </c:pt>
                <c:pt idx="3">
                  <c:v>01.01.2024</c:v>
                </c:pt>
                <c:pt idx="4">
                  <c:v>01.01.2025*​</c:v>
                </c:pt>
                <c:pt idx="5">
                  <c:v>01.01.2026*​</c:v>
                </c:pt>
                <c:pt idx="6">
                  <c:v>01.01.2027*​</c:v>
                </c:pt>
              </c:strCache>
            </c:strRef>
          </c:cat>
          <c:val>
            <c:numRef>
              <c:f>'Ettekande arvutused'!$C$54:$I$54</c:f>
              <c:numCache>
                <c:formatCode>0.0</c:formatCode>
                <c:ptCount val="7"/>
                <c:pt idx="0" formatCode="#,##0">
                  <c:v>0</c:v>
                </c:pt>
                <c:pt idx="1">
                  <c:v>50</c:v>
                </c:pt>
                <c:pt idx="2">
                  <c:v>0</c:v>
                </c:pt>
                <c:pt idx="3">
                  <c:v>16.666666666666671</c:v>
                </c:pt>
                <c:pt idx="4">
                  <c:v>28.571428571428584</c:v>
                </c:pt>
                <c:pt idx="5">
                  <c:v>11.111111111111114</c:v>
                </c:pt>
                <c:pt idx="6">
                  <c:v>0</c:v>
                </c:pt>
              </c:numCache>
            </c:numRef>
          </c:val>
          <c:smooth val="0"/>
          <c:extLst>
            <c:ext xmlns:c16="http://schemas.microsoft.com/office/drawing/2014/chart" uri="{C3380CC4-5D6E-409C-BE32-E72D297353CC}">
              <c16:uniqueId val="{00000002-7C94-46C8-9181-4BB478076098}"/>
            </c:ext>
          </c:extLst>
        </c:ser>
        <c:dLbls>
          <c:showLegendKey val="0"/>
          <c:showVal val="0"/>
          <c:showCatName val="0"/>
          <c:showSerName val="0"/>
          <c:showPercent val="0"/>
          <c:showBubbleSize val="0"/>
        </c:dLbls>
        <c:marker val="1"/>
        <c:smooth val="0"/>
        <c:axId val="309844304"/>
        <c:axId val="2118284000"/>
      </c:lineChart>
      <c:dateAx>
        <c:axId val="2014720464"/>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337308592"/>
        <c:crosses val="max"/>
        <c:auto val="0"/>
        <c:lblOffset val="100"/>
        <c:baseTimeUnit val="days"/>
      </c:dateAx>
      <c:valAx>
        <c:axId val="337308592"/>
        <c:scaling>
          <c:orientation val="minMax"/>
          <c:max val="10"/>
          <c:min val="0"/>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2014720464"/>
        <c:crosses val="max"/>
        <c:crossBetween val="between"/>
      </c:valAx>
      <c:valAx>
        <c:axId val="2118284000"/>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309844304"/>
        <c:crosses val="autoZero"/>
        <c:crossBetween val="between"/>
      </c:valAx>
      <c:catAx>
        <c:axId val="309844304"/>
        <c:scaling>
          <c:orientation val="minMax"/>
        </c:scaling>
        <c:delete val="1"/>
        <c:axPos val="b"/>
        <c:numFmt formatCode="General" sourceLinked="1"/>
        <c:majorTickMark val="out"/>
        <c:minorTickMark val="none"/>
        <c:tickLblPos val="nextTo"/>
        <c:crossAx val="211828400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358775</xdr:colOff>
      <xdr:row>0</xdr:row>
      <xdr:rowOff>19050</xdr:rowOff>
    </xdr:from>
    <xdr:to>
      <xdr:col>11</xdr:col>
      <xdr:colOff>625475</xdr:colOff>
      <xdr:row>14</xdr:row>
      <xdr:rowOff>0</xdr:rowOff>
    </xdr:to>
    <xdr:graphicFrame macro="">
      <xdr:nvGraphicFramePr>
        <xdr:cNvPr id="5" name="Diagramm 3">
          <a:extLst>
            <a:ext uri="{FF2B5EF4-FFF2-40B4-BE49-F238E27FC236}">
              <a16:creationId xmlns:a16="http://schemas.microsoft.com/office/drawing/2014/main" id="{DBAA80F2-6E24-E61C-9717-1BC3ED7024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346075</xdr:colOff>
      <xdr:row>16</xdr:row>
      <xdr:rowOff>82550</xdr:rowOff>
    </xdr:from>
    <xdr:to>
      <xdr:col>11</xdr:col>
      <xdr:colOff>612775</xdr:colOff>
      <xdr:row>33</xdr:row>
      <xdr:rowOff>88900</xdr:rowOff>
    </xdr:to>
    <xdr:graphicFrame macro="">
      <xdr:nvGraphicFramePr>
        <xdr:cNvPr id="14" name="Diagramm 7">
          <a:extLst>
            <a:ext uri="{FF2B5EF4-FFF2-40B4-BE49-F238E27FC236}">
              <a16:creationId xmlns:a16="http://schemas.microsoft.com/office/drawing/2014/main" id="{5F4ED4C2-8C86-454F-3D38-8C07F277E1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484514</xdr:colOff>
      <xdr:row>67</xdr:row>
      <xdr:rowOff>16902</xdr:rowOff>
    </xdr:from>
    <xdr:to>
      <xdr:col>24</xdr:col>
      <xdr:colOff>150346</xdr:colOff>
      <xdr:row>86</xdr:row>
      <xdr:rowOff>28015</xdr:rowOff>
    </xdr:to>
    <xdr:graphicFrame macro="">
      <xdr:nvGraphicFramePr>
        <xdr:cNvPr id="15" name="Diagramm 14">
          <a:extLst>
            <a:ext uri="{FF2B5EF4-FFF2-40B4-BE49-F238E27FC236}">
              <a16:creationId xmlns:a16="http://schemas.microsoft.com/office/drawing/2014/main" id="{EE32334B-59B3-108D-8187-8709409272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873125</xdr:colOff>
      <xdr:row>33</xdr:row>
      <xdr:rowOff>171450</xdr:rowOff>
    </xdr:from>
    <xdr:to>
      <xdr:col>8</xdr:col>
      <xdr:colOff>98425</xdr:colOff>
      <xdr:row>48</xdr:row>
      <xdr:rowOff>152400</xdr:rowOff>
    </xdr:to>
    <xdr:graphicFrame macro="">
      <xdr:nvGraphicFramePr>
        <xdr:cNvPr id="48" name="Diagramm 22">
          <a:extLst>
            <a:ext uri="{FF2B5EF4-FFF2-40B4-BE49-F238E27FC236}">
              <a16:creationId xmlns:a16="http://schemas.microsoft.com/office/drawing/2014/main" id="{CCB4ECD8-DA37-3188-BF54-C7148E6D24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415925</xdr:colOff>
      <xdr:row>34</xdr:row>
      <xdr:rowOff>0</xdr:rowOff>
    </xdr:from>
    <xdr:to>
      <xdr:col>14</xdr:col>
      <xdr:colOff>314325</xdr:colOff>
      <xdr:row>48</xdr:row>
      <xdr:rowOff>165100</xdr:rowOff>
    </xdr:to>
    <xdr:graphicFrame macro="">
      <xdr:nvGraphicFramePr>
        <xdr:cNvPr id="52" name="Diagramm 32">
          <a:extLst>
            <a:ext uri="{FF2B5EF4-FFF2-40B4-BE49-F238E27FC236}">
              <a16:creationId xmlns:a16="http://schemas.microsoft.com/office/drawing/2014/main" id="{0C5C436E-3F8F-A287-5820-A92134A18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162718</xdr:colOff>
      <xdr:row>67</xdr:row>
      <xdr:rowOff>17463</xdr:rowOff>
    </xdr:from>
    <xdr:to>
      <xdr:col>14</xdr:col>
      <xdr:colOff>281780</xdr:colOff>
      <xdr:row>80</xdr:row>
      <xdr:rowOff>14288</xdr:rowOff>
    </xdr:to>
    <xdr:graphicFrame macro="">
      <xdr:nvGraphicFramePr>
        <xdr:cNvPr id="53" name="Diagramm 52">
          <a:extLst>
            <a:ext uri="{FF2B5EF4-FFF2-40B4-BE49-F238E27FC236}">
              <a16:creationId xmlns:a16="http://schemas.microsoft.com/office/drawing/2014/main" id="{C894379D-33D6-EDF2-0B10-4BE4CB9157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138906</xdr:colOff>
      <xdr:row>80</xdr:row>
      <xdr:rowOff>17463</xdr:rowOff>
    </xdr:from>
    <xdr:to>
      <xdr:col>14</xdr:col>
      <xdr:colOff>257968</xdr:colOff>
      <xdr:row>94</xdr:row>
      <xdr:rowOff>93663</xdr:rowOff>
    </xdr:to>
    <xdr:graphicFrame macro="">
      <xdr:nvGraphicFramePr>
        <xdr:cNvPr id="54" name="Diagramm 53">
          <a:extLst>
            <a:ext uri="{FF2B5EF4-FFF2-40B4-BE49-F238E27FC236}">
              <a16:creationId xmlns:a16="http://schemas.microsoft.com/office/drawing/2014/main" id="{44F29917-E5F4-89B1-53D5-3300DF5508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263898</xdr:colOff>
      <xdr:row>49</xdr:row>
      <xdr:rowOff>46880</xdr:rowOff>
    </xdr:from>
    <xdr:to>
      <xdr:col>16</xdr:col>
      <xdr:colOff>189940</xdr:colOff>
      <xdr:row>64</xdr:row>
      <xdr:rowOff>11206</xdr:rowOff>
    </xdr:to>
    <xdr:graphicFrame macro="">
      <xdr:nvGraphicFramePr>
        <xdr:cNvPr id="76" name="Diagramm 72">
          <a:extLst>
            <a:ext uri="{FF2B5EF4-FFF2-40B4-BE49-F238E27FC236}">
              <a16:creationId xmlns:a16="http://schemas.microsoft.com/office/drawing/2014/main" id="{A6BBD827-C39E-1944-0ACB-5EB6429C12CF}"/>
            </a:ext>
            <a:ext uri="{147F2762-F138-4A5C-976F-8EAC2B608ADB}">
              <a16:predDERef xmlns:a16="http://schemas.microsoft.com/office/drawing/2014/main" pred="{537615CA-5D85-0948-FB28-7DC5A288DE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4B7B0-4764-496D-9313-E7C884B0D6FB}">
  <sheetPr codeName="Leht1">
    <tabColor theme="8" tint="0.59999389629810485"/>
  </sheetPr>
  <dimension ref="A1:AT137"/>
  <sheetViews>
    <sheetView topLeftCell="A29" zoomScale="80" zoomScaleNormal="80" workbookViewId="0">
      <selection activeCell="AE35" sqref="AE35"/>
    </sheetView>
  </sheetViews>
  <sheetFormatPr defaultColWidth="8.7109375" defaultRowHeight="15" x14ac:dyDescent="0.25"/>
  <cols>
    <col min="1" max="1" width="21.28515625" style="1" customWidth="1"/>
    <col min="2" max="2" width="15" style="1" customWidth="1"/>
    <col min="3" max="3" width="13.7109375" style="1" customWidth="1"/>
    <col min="4" max="4" width="14.140625" style="1" customWidth="1"/>
    <col min="5" max="5" width="16.7109375" style="1" customWidth="1"/>
    <col min="6" max="6" width="18.5703125" style="1" customWidth="1"/>
    <col min="7" max="7" width="14.140625" style="1" customWidth="1"/>
    <col min="8" max="8" width="12.85546875" style="1" customWidth="1"/>
    <col min="9" max="9" width="20.28515625" style="1" customWidth="1"/>
    <col min="10" max="10" width="25.28515625" style="3" customWidth="1"/>
    <col min="11" max="11" width="42" style="1" customWidth="1"/>
    <col min="12" max="12" width="12.5703125" style="1" customWidth="1"/>
    <col min="13" max="13" width="12" style="1" customWidth="1"/>
    <col min="14" max="14" width="14.28515625" style="1" customWidth="1"/>
    <col min="15" max="15" width="12.28515625" style="1" customWidth="1"/>
    <col min="16" max="16" width="8.7109375" style="1"/>
    <col min="17" max="17" width="14.85546875" style="1" bestFit="1" customWidth="1"/>
    <col min="18" max="22" width="13.140625" style="1" bestFit="1" customWidth="1"/>
    <col min="23" max="23" width="13.140625" style="1" customWidth="1"/>
    <col min="24" max="27" width="10.140625" style="1" bestFit="1" customWidth="1"/>
    <col min="28" max="28" width="10.85546875" style="1" customWidth="1"/>
    <col min="29" max="29" width="11.140625" style="1" customWidth="1"/>
    <col min="30" max="30" width="10.140625" style="1" bestFit="1" customWidth="1"/>
    <col min="31" max="31" width="11.42578125" style="1" customWidth="1"/>
    <col min="32" max="32" width="11.140625" style="1" customWidth="1"/>
    <col min="33" max="38" width="10.140625" style="1" bestFit="1" customWidth="1"/>
    <col min="39" max="41" width="10.140625" style="1" customWidth="1"/>
    <col min="42" max="42" width="40.28515625" style="1" bestFit="1" customWidth="1"/>
    <col min="43" max="43" width="37" style="1" customWidth="1"/>
    <col min="44" max="44" width="60.7109375" style="1" bestFit="1" customWidth="1"/>
    <col min="45" max="45" width="48.42578125" style="1" customWidth="1"/>
    <col min="46" max="46" width="23.28515625" style="1" customWidth="1"/>
    <col min="47" max="16384" width="8.7109375" style="1"/>
  </cols>
  <sheetData>
    <row r="1" spans="1:14" x14ac:dyDescent="0.25">
      <c r="A1" s="5" t="s">
        <v>0</v>
      </c>
      <c r="B1" s="198"/>
      <c r="C1" s="199"/>
      <c r="D1" s="199"/>
      <c r="E1" s="199"/>
      <c r="F1" s="8"/>
      <c r="G1" s="199"/>
      <c r="H1" s="376"/>
      <c r="I1" s="8"/>
    </row>
    <row r="2" spans="1:14" ht="30.75" customHeight="1" x14ac:dyDescent="0.25">
      <c r="A2" s="169" t="s">
        <v>1</v>
      </c>
      <c r="B2" s="606" t="s">
        <v>2</v>
      </c>
      <c r="C2" s="607"/>
      <c r="D2" s="607"/>
      <c r="E2" s="608"/>
      <c r="F2" s="8"/>
      <c r="G2" s="609" t="s">
        <v>3</v>
      </c>
      <c r="H2" s="610"/>
      <c r="I2" s="610"/>
      <c r="J2" s="610"/>
      <c r="K2" s="610"/>
      <c r="L2" s="525"/>
    </row>
    <row r="3" spans="1:14" ht="76.5" x14ac:dyDescent="0.25">
      <c r="A3" s="193" t="s">
        <v>4</v>
      </c>
      <c r="B3" s="194" t="s">
        <v>5</v>
      </c>
      <c r="C3" s="195">
        <v>2023</v>
      </c>
      <c r="D3" s="195">
        <v>2024</v>
      </c>
      <c r="E3" s="195">
        <v>2025</v>
      </c>
      <c r="F3" s="8"/>
      <c r="G3" s="5" t="s">
        <v>6</v>
      </c>
      <c r="H3" s="200" t="s">
        <v>7</v>
      </c>
      <c r="I3" s="201" t="s">
        <v>8</v>
      </c>
      <c r="J3" s="202" t="s">
        <v>9</v>
      </c>
      <c r="K3" s="202" t="s">
        <v>10</v>
      </c>
      <c r="L3" s="526"/>
      <c r="M3" s="8"/>
      <c r="N3" s="3"/>
    </row>
    <row r="4" spans="1:14" x14ac:dyDescent="0.25">
      <c r="A4" s="196" t="s">
        <v>11</v>
      </c>
      <c r="B4" s="9">
        <f>SUM(C4:E4)</f>
        <v>2024944</v>
      </c>
      <c r="C4" s="9">
        <f>SUM(C5+C12)</f>
        <v>179866</v>
      </c>
      <c r="D4" s="9">
        <f>SUM(D5+D12)</f>
        <v>578052</v>
      </c>
      <c r="E4" s="9">
        <f>SUM(E5+E12)</f>
        <v>1267026</v>
      </c>
      <c r="F4" s="8"/>
      <c r="G4" s="9">
        <f>SUM(H4:K4)</f>
        <v>1981987</v>
      </c>
      <c r="H4" s="203">
        <f>SUMIFS(Q35:Q94,G35:G94,$G$97)</f>
        <v>485593</v>
      </c>
      <c r="I4" s="204">
        <f>SUMIFS(Q35:Q94,G35:G94,$G$98)</f>
        <v>709452</v>
      </c>
      <c r="J4" s="204">
        <f>SUMIFS(Q35:Q94,G35:G94,$G$99)</f>
        <v>124000</v>
      </c>
      <c r="K4" s="204">
        <f>SUMIFS(Q35:Q94,G35:G94,$G$100)</f>
        <v>662942</v>
      </c>
      <c r="L4" s="527"/>
      <c r="M4" s="8"/>
      <c r="N4" s="4"/>
    </row>
    <row r="5" spans="1:14" x14ac:dyDescent="0.25">
      <c r="A5" s="196" t="s">
        <v>12</v>
      </c>
      <c r="B5" s="9">
        <f>SUM(C5:E5)</f>
        <v>359914</v>
      </c>
      <c r="C5" s="9">
        <f>SUM(C6:C11)</f>
        <v>179866</v>
      </c>
      <c r="D5" s="9">
        <f>SUM(D6:D11)</f>
        <v>118048</v>
      </c>
      <c r="E5" s="9">
        <f>SUM(E6:E11)</f>
        <v>62000</v>
      </c>
      <c r="F5" s="8"/>
      <c r="G5" s="8"/>
      <c r="J5" s="8"/>
      <c r="K5" s="4"/>
      <c r="L5" s="4"/>
    </row>
    <row r="6" spans="1:14" x14ac:dyDescent="0.25">
      <c r="A6" s="197" t="s">
        <v>13</v>
      </c>
      <c r="B6" s="17">
        <f>SUM(C6:E6)</f>
        <v>274000</v>
      </c>
      <c r="C6" s="18">
        <f>SUMIFS(R35:R94,P35:P94,"Baaseelarve")</f>
        <v>150000</v>
      </c>
      <c r="D6" s="18">
        <f>SUMIFS(S35:S94,P35:P94,"Baaseelarve")</f>
        <v>62000</v>
      </c>
      <c r="E6" s="18">
        <f>SUMIFS(T35:T94,P35:P94,"Baaseelarve")</f>
        <v>62000</v>
      </c>
      <c r="F6" s="10"/>
      <c r="G6" s="8"/>
      <c r="H6" s="8"/>
      <c r="I6" s="8"/>
      <c r="J6" s="8"/>
      <c r="K6" s="4"/>
      <c r="L6" s="4"/>
    </row>
    <row r="7" spans="1:14" x14ac:dyDescent="0.25">
      <c r="A7" s="197" t="s">
        <v>14</v>
      </c>
      <c r="B7" s="17">
        <f>SUM(C7:E7)</f>
        <v>0</v>
      </c>
      <c r="C7" s="18">
        <f>SUMIFS(R35:R94,P35:P94,"Muu rahastus")</f>
        <v>0</v>
      </c>
      <c r="D7" s="18">
        <f>SUMIFS(S35:S94,P35:P94,"Muu rahastus")</f>
        <v>0</v>
      </c>
      <c r="E7" s="18">
        <f>SUMIFS(T35:T94,P35:P94,"Muu rahastus")</f>
        <v>0</v>
      </c>
      <c r="F7" s="10"/>
      <c r="G7" s="8"/>
      <c r="H7" s="8"/>
      <c r="I7" s="8"/>
      <c r="J7" s="8"/>
      <c r="K7" s="4"/>
      <c r="L7" s="4"/>
    </row>
    <row r="8" spans="1:14" x14ac:dyDescent="0.25">
      <c r="A8" s="197" t="s">
        <v>15</v>
      </c>
      <c r="B8" s="17">
        <f>SUM(C8:E8)</f>
        <v>0</v>
      </c>
      <c r="C8" s="18">
        <f>SUMIFS(R35:R94,P35:P94,"Reserv (SR)")</f>
        <v>0</v>
      </c>
      <c r="D8" s="18">
        <f>SUMIFS(S35:S94,P35:P94,"Reserv (SR)")</f>
        <v>0</v>
      </c>
      <c r="E8" s="18">
        <f>SUMIFS(T35:T94,P35:P94,"Reserv (SR)")</f>
        <v>0</v>
      </c>
      <c r="F8" s="10"/>
      <c r="G8" s="8"/>
      <c r="H8" s="8"/>
      <c r="I8" s="8"/>
      <c r="J8" s="8"/>
      <c r="K8" s="4"/>
      <c r="L8" s="4"/>
    </row>
    <row r="9" spans="1:14" hidden="1" x14ac:dyDescent="0.25">
      <c r="A9" s="197" t="s">
        <v>16</v>
      </c>
      <c r="B9" s="17">
        <f t="shared" ref="B9" si="0">SUM(C9:D9)</f>
        <v>42957</v>
      </c>
      <c r="C9" s="18">
        <f>SUMIFS(R35:R94,P35:P94,"RRF")</f>
        <v>14933</v>
      </c>
      <c r="D9" s="18">
        <f>SUMIFS(S35:S94,P35:P94,"RRF")</f>
        <v>28024</v>
      </c>
      <c r="E9" s="18"/>
      <c r="F9" s="10"/>
      <c r="G9" s="8"/>
      <c r="H9" s="8"/>
      <c r="I9" s="8"/>
      <c r="J9" s="8"/>
      <c r="K9" s="4"/>
      <c r="L9" s="4"/>
    </row>
    <row r="10" spans="1:14" x14ac:dyDescent="0.25">
      <c r="A10" s="197" t="s">
        <v>17</v>
      </c>
      <c r="B10" s="17">
        <f>SUM(C10:E10)</f>
        <v>0</v>
      </c>
      <c r="C10" s="18">
        <f>SUMIFS(R35:R94,P35:P94,"SF 14-20 (töös olev projekt)")</f>
        <v>0</v>
      </c>
      <c r="D10" s="18">
        <f>SUMIFS(S35:S94,P35:P94,"SF 14-20 (töös olev projekt)")</f>
        <v>0</v>
      </c>
      <c r="E10" s="18">
        <f>SUMIFS(T35:T94,P35:P94,"SF 14-20 (töös olev projekt)")</f>
        <v>0</v>
      </c>
      <c r="F10" s="10"/>
      <c r="G10" s="8"/>
      <c r="H10" s="8"/>
      <c r="I10" s="8"/>
      <c r="J10" s="8"/>
      <c r="K10" s="4"/>
      <c r="L10" s="4"/>
    </row>
    <row r="11" spans="1:14" x14ac:dyDescent="0.25">
      <c r="A11" s="197" t="s">
        <v>18</v>
      </c>
      <c r="B11" s="17">
        <f>SUM(C11:E11)</f>
        <v>42957</v>
      </c>
      <c r="C11" s="18">
        <f>SUMIFS(R35:R94,P35:P94,"RRF")</f>
        <v>14933</v>
      </c>
      <c r="D11" s="18">
        <f>SUMIFS(S35:S94,P35:P94,"RRF")</f>
        <v>28024</v>
      </c>
      <c r="E11" s="18">
        <f>SUMIFS(T35:T94,P35:P94,"RRF")</f>
        <v>0</v>
      </c>
      <c r="F11" s="10"/>
      <c r="G11" s="8"/>
      <c r="H11" s="8"/>
      <c r="I11" s="8"/>
      <c r="J11" s="8"/>
      <c r="K11" s="4"/>
      <c r="L11" s="4"/>
    </row>
    <row r="12" spans="1:14" x14ac:dyDescent="0.25">
      <c r="A12" s="196" t="s">
        <v>19</v>
      </c>
      <c r="B12" s="9">
        <f>SUM(C12:E12)</f>
        <v>1665030</v>
      </c>
      <c r="C12" s="9">
        <f>SUM(C13:C14)</f>
        <v>0</v>
      </c>
      <c r="D12" s="9">
        <f>SUM(D13:D14)</f>
        <v>460004</v>
      </c>
      <c r="E12" s="9">
        <f>SUM(E13:E14)</f>
        <v>1205026</v>
      </c>
      <c r="F12" s="10"/>
      <c r="G12" s="8"/>
      <c r="H12" s="8"/>
      <c r="I12" s="8"/>
      <c r="J12" s="8"/>
      <c r="K12" s="4"/>
      <c r="L12" s="4"/>
    </row>
    <row r="13" spans="1:14" x14ac:dyDescent="0.25">
      <c r="A13" s="197" t="s">
        <v>20</v>
      </c>
      <c r="B13" s="17">
        <f>SUM(C13:E13)</f>
        <v>645500</v>
      </c>
      <c r="C13" s="18">
        <f>SUMIFS(R35:R94,P35:P94,"RES IKT (vaja juurde taotleda)")</f>
        <v>0</v>
      </c>
      <c r="D13" s="18">
        <f>SUMIFS(S35:S94,P35:P94,"RES IKT (vaja juurde taotleda)")</f>
        <v>60000</v>
      </c>
      <c r="E13" s="18">
        <f>SUMIFS(T35:T94,P35:P94,"RES IKT (vaja juurde taotleda)")</f>
        <v>585500</v>
      </c>
      <c r="F13" s="10" t="s">
        <v>21</v>
      </c>
      <c r="G13" s="8"/>
      <c r="H13" s="8"/>
      <c r="I13" s="8"/>
      <c r="J13" s="8"/>
      <c r="K13" s="4"/>
      <c r="L13" s="4"/>
    </row>
    <row r="14" spans="1:14" x14ac:dyDescent="0.25">
      <c r="A14" s="197" t="s">
        <v>22</v>
      </c>
      <c r="B14" s="17">
        <f>SUM(C14:E14)</f>
        <v>1019530</v>
      </c>
      <c r="C14" s="18">
        <f>SUMIFS(R35:R94,P35:P94,"SF 21-27 (taotletav raha)")</f>
        <v>0</v>
      </c>
      <c r="D14" s="18">
        <f>SUMIFS(S35:S94,P35:P94,"SF 21-27 (taotletav raha)")</f>
        <v>400004</v>
      </c>
      <c r="E14" s="18">
        <f>SUMIFS(T35:T94,P35:P94,"SF 21-27 (taotletav raha)")</f>
        <v>619526</v>
      </c>
      <c r="F14" s="10" t="s">
        <v>23</v>
      </c>
      <c r="G14" s="8"/>
      <c r="H14" s="8"/>
      <c r="I14" s="8"/>
      <c r="J14" s="8"/>
      <c r="K14" s="4"/>
      <c r="L14" s="4"/>
    </row>
    <row r="15" spans="1:14" x14ac:dyDescent="0.25">
      <c r="A15" s="6"/>
      <c r="B15" s="6"/>
      <c r="C15" s="6"/>
      <c r="D15" s="6"/>
      <c r="E15" s="6"/>
      <c r="F15" s="6"/>
      <c r="G15" s="6"/>
      <c r="H15" s="6"/>
      <c r="I15" s="6"/>
    </row>
    <row r="16" spans="1:14" ht="15.75" thickBot="1" x14ac:dyDescent="0.3">
      <c r="A16" s="10" t="s">
        <v>24</v>
      </c>
      <c r="B16" s="6"/>
      <c r="C16" s="6"/>
      <c r="D16" s="6"/>
      <c r="E16" s="6"/>
      <c r="F16" s="6"/>
      <c r="G16" s="6"/>
      <c r="H16" s="6"/>
      <c r="I16" s="6"/>
    </row>
    <row r="17" spans="1:45" ht="29.1" customHeight="1" x14ac:dyDescent="0.25">
      <c r="A17" s="51" t="s">
        <v>25</v>
      </c>
      <c r="B17" s="590" t="s">
        <v>26</v>
      </c>
      <c r="C17" s="591"/>
      <c r="D17" s="591"/>
      <c r="E17" s="591"/>
      <c r="F17" s="591"/>
      <c r="G17" s="591"/>
      <c r="H17" s="591"/>
      <c r="I17" s="591"/>
      <c r="J17" s="51" t="s">
        <v>27</v>
      </c>
      <c r="K17" s="598" t="s">
        <v>28</v>
      </c>
      <c r="L17" s="599"/>
      <c r="M17" s="588"/>
      <c r="N17" s="588"/>
      <c r="O17" s="588"/>
      <c r="P17" s="588"/>
      <c r="Q17" s="588"/>
      <c r="R17" s="589"/>
    </row>
    <row r="18" spans="1:45" x14ac:dyDescent="0.25">
      <c r="A18" s="52" t="s">
        <v>29</v>
      </c>
      <c r="B18" s="106" t="s">
        <v>30</v>
      </c>
      <c r="C18" s="107" t="s">
        <v>31</v>
      </c>
      <c r="D18" s="107" t="s">
        <v>32</v>
      </c>
      <c r="E18" s="107" t="s">
        <v>33</v>
      </c>
      <c r="F18" s="107" t="s">
        <v>34</v>
      </c>
      <c r="G18" s="107" t="s">
        <v>35</v>
      </c>
      <c r="H18" s="107" t="s">
        <v>36</v>
      </c>
      <c r="I18" s="205" t="s">
        <v>37</v>
      </c>
      <c r="J18" s="65"/>
      <c r="K18" s="3"/>
      <c r="L18" s="3"/>
      <c r="R18" s="64"/>
    </row>
    <row r="19" spans="1:45" ht="15.75" thickBot="1" x14ac:dyDescent="0.3">
      <c r="A19" s="53" t="s">
        <v>38</v>
      </c>
      <c r="B19" s="292">
        <v>0</v>
      </c>
      <c r="C19" s="275">
        <v>0</v>
      </c>
      <c r="D19" s="275">
        <v>15000</v>
      </c>
      <c r="E19" s="275"/>
      <c r="F19" s="275"/>
      <c r="G19" s="275"/>
      <c r="H19" s="275"/>
      <c r="I19" s="276">
        <v>250000</v>
      </c>
      <c r="J19" s="277"/>
      <c r="K19" s="614" t="s">
        <v>39</v>
      </c>
      <c r="L19" s="615"/>
      <c r="M19" s="616"/>
      <c r="N19" s="616"/>
      <c r="O19" s="616"/>
      <c r="P19" s="616"/>
      <c r="Q19" s="616"/>
      <c r="R19" s="617"/>
    </row>
    <row r="20" spans="1:45" ht="29.1" customHeight="1" x14ac:dyDescent="0.25">
      <c r="A20" s="51" t="s">
        <v>40</v>
      </c>
      <c r="B20" s="592" t="s">
        <v>41</v>
      </c>
      <c r="C20" s="593"/>
      <c r="D20" s="593"/>
      <c r="E20" s="593"/>
      <c r="F20" s="593"/>
      <c r="G20" s="593"/>
      <c r="H20" s="593"/>
      <c r="I20" s="594"/>
      <c r="J20" s="67"/>
      <c r="K20" s="598" t="s">
        <v>42</v>
      </c>
      <c r="L20" s="599"/>
      <c r="M20" s="588"/>
      <c r="N20" s="588"/>
      <c r="O20" s="588"/>
      <c r="P20" s="588"/>
      <c r="Q20" s="588"/>
      <c r="R20" s="589"/>
    </row>
    <row r="21" spans="1:45" x14ac:dyDescent="0.25">
      <c r="A21" s="52" t="s">
        <v>29</v>
      </c>
      <c r="B21" s="106" t="s">
        <v>30</v>
      </c>
      <c r="C21" s="107" t="s">
        <v>31</v>
      </c>
      <c r="D21" s="107" t="s">
        <v>32</v>
      </c>
      <c r="E21" s="107" t="s">
        <v>33</v>
      </c>
      <c r="F21" s="107" t="s">
        <v>34</v>
      </c>
      <c r="G21" s="107" t="s">
        <v>35</v>
      </c>
      <c r="H21" s="107" t="s">
        <v>36</v>
      </c>
      <c r="I21" s="205" t="s">
        <v>37</v>
      </c>
      <c r="J21" s="65"/>
      <c r="K21" s="3"/>
      <c r="L21" s="3"/>
      <c r="R21" s="64"/>
    </row>
    <row r="22" spans="1:45" ht="15.75" thickBot="1" x14ac:dyDescent="0.3">
      <c r="A22" s="53" t="s">
        <v>38</v>
      </c>
      <c r="B22" s="292">
        <v>0</v>
      </c>
      <c r="C22" s="275">
        <v>0</v>
      </c>
      <c r="D22" s="275">
        <v>1</v>
      </c>
      <c r="E22" s="275"/>
      <c r="F22" s="275"/>
      <c r="G22" s="275"/>
      <c r="H22" s="275"/>
      <c r="I22" s="276">
        <v>5</v>
      </c>
      <c r="J22" s="277"/>
      <c r="K22" s="614" t="s">
        <v>43</v>
      </c>
      <c r="L22" s="615"/>
      <c r="M22" s="616"/>
      <c r="N22" s="616"/>
      <c r="O22" s="616"/>
      <c r="P22" s="616"/>
      <c r="Q22" s="616"/>
      <c r="R22" s="617"/>
    </row>
    <row r="23" spans="1:45" ht="29.1" customHeight="1" x14ac:dyDescent="0.25">
      <c r="A23" s="51" t="s">
        <v>40</v>
      </c>
      <c r="B23" s="592" t="s">
        <v>44</v>
      </c>
      <c r="C23" s="593"/>
      <c r="D23" s="593"/>
      <c r="E23" s="593"/>
      <c r="F23" s="593"/>
      <c r="G23" s="593"/>
      <c r="H23" s="593"/>
      <c r="I23" s="594"/>
      <c r="J23" s="67"/>
      <c r="K23" s="598" t="s">
        <v>45</v>
      </c>
      <c r="L23" s="599"/>
      <c r="M23" s="588"/>
      <c r="N23" s="588"/>
      <c r="O23" s="588"/>
      <c r="P23" s="588"/>
      <c r="Q23" s="588"/>
      <c r="R23" s="589"/>
    </row>
    <row r="24" spans="1:45" x14ac:dyDescent="0.25">
      <c r="A24" s="52" t="s">
        <v>29</v>
      </c>
      <c r="B24" s="106" t="s">
        <v>30</v>
      </c>
      <c r="C24" s="107" t="s">
        <v>31</v>
      </c>
      <c r="D24" s="107" t="s">
        <v>32</v>
      </c>
      <c r="E24" s="107" t="s">
        <v>33</v>
      </c>
      <c r="F24" s="107" t="s">
        <v>34</v>
      </c>
      <c r="G24" s="107" t="s">
        <v>35</v>
      </c>
      <c r="H24" s="107" t="s">
        <v>36</v>
      </c>
      <c r="I24" s="205" t="s">
        <v>37</v>
      </c>
      <c r="J24" s="65"/>
      <c r="K24" s="3"/>
      <c r="L24" s="3"/>
      <c r="R24" s="64"/>
    </row>
    <row r="25" spans="1:45" ht="15.75" thickBot="1" x14ac:dyDescent="0.3">
      <c r="A25" s="53" t="s">
        <v>38</v>
      </c>
      <c r="B25" s="292">
        <v>0</v>
      </c>
      <c r="C25" s="275">
        <v>1</v>
      </c>
      <c r="D25" s="275">
        <v>1</v>
      </c>
      <c r="E25" s="275"/>
      <c r="F25" s="275"/>
      <c r="G25" s="275"/>
      <c r="H25" s="275"/>
      <c r="I25" s="276">
        <v>1</v>
      </c>
      <c r="J25" s="277"/>
      <c r="K25" s="614" t="s">
        <v>46</v>
      </c>
      <c r="L25" s="615"/>
      <c r="M25" s="616"/>
      <c r="N25" s="616"/>
      <c r="O25" s="616"/>
      <c r="P25" s="616"/>
      <c r="Q25" s="616"/>
      <c r="R25" s="617"/>
    </row>
    <row r="26" spans="1:45" ht="75" x14ac:dyDescent="0.25">
      <c r="A26" s="464" t="s">
        <v>47</v>
      </c>
      <c r="B26" s="595" t="s">
        <v>48</v>
      </c>
      <c r="C26" s="596"/>
      <c r="D26" s="596"/>
      <c r="E26" s="596"/>
      <c r="F26" s="596"/>
      <c r="G26" s="596"/>
      <c r="H26" s="596"/>
      <c r="I26" s="597"/>
      <c r="J26" s="465"/>
      <c r="K26" s="598" t="s">
        <v>49</v>
      </c>
      <c r="L26" s="599"/>
      <c r="M26" s="588"/>
      <c r="N26" s="588"/>
      <c r="O26" s="588"/>
      <c r="P26" s="588"/>
      <c r="Q26" s="588"/>
      <c r="R26" s="589"/>
    </row>
    <row r="27" spans="1:45" ht="14.45" customHeight="1" x14ac:dyDescent="0.25">
      <c r="A27" s="466" t="s">
        <v>29</v>
      </c>
      <c r="B27" s="106" t="s">
        <v>30</v>
      </c>
      <c r="C27" s="107" t="s">
        <v>31</v>
      </c>
      <c r="D27" s="107" t="s">
        <v>32</v>
      </c>
      <c r="E27" s="107" t="s">
        <v>33</v>
      </c>
      <c r="F27" s="107" t="s">
        <v>34</v>
      </c>
      <c r="G27" s="107" t="s">
        <v>35</v>
      </c>
      <c r="H27" s="107" t="s">
        <v>36</v>
      </c>
      <c r="I27" s="205" t="s">
        <v>37</v>
      </c>
      <c r="J27" s="469"/>
      <c r="K27" s="472"/>
      <c r="L27" s="472"/>
      <c r="M27" s="470"/>
      <c r="N27" s="470"/>
      <c r="O27" s="470"/>
      <c r="P27" s="470"/>
      <c r="Q27" s="470"/>
      <c r="R27" s="471"/>
    </row>
    <row r="28" spans="1:45" x14ac:dyDescent="0.25">
      <c r="A28" s="467" t="s">
        <v>38</v>
      </c>
      <c r="B28" s="468">
        <v>0</v>
      </c>
      <c r="C28" s="500">
        <v>0</v>
      </c>
      <c r="D28" s="500">
        <v>0</v>
      </c>
      <c r="E28" s="500"/>
      <c r="F28" s="500"/>
      <c r="G28" s="500"/>
      <c r="H28" s="500"/>
      <c r="I28" s="501">
        <v>90</v>
      </c>
      <c r="J28" s="473"/>
      <c r="K28" s="618" t="s">
        <v>50</v>
      </c>
      <c r="L28" s="618"/>
      <c r="M28" s="619"/>
      <c r="N28" s="619"/>
      <c r="O28" s="619"/>
      <c r="P28" s="619"/>
      <c r="Q28" s="619"/>
      <c r="R28" s="620"/>
    </row>
    <row r="29" spans="1:45" x14ac:dyDescent="0.25">
      <c r="A29" s="3"/>
      <c r="B29" s="3"/>
    </row>
    <row r="31" spans="1:45" ht="15.75" thickBot="1" x14ac:dyDescent="0.3">
      <c r="C31" s="73"/>
      <c r="D31" s="73"/>
    </row>
    <row r="32" spans="1:45" ht="15.75" thickBot="1" x14ac:dyDescent="0.3">
      <c r="C32" s="73"/>
      <c r="D32" s="73"/>
      <c r="X32" s="586" t="s">
        <v>51</v>
      </c>
      <c r="Y32" s="587"/>
      <c r="Z32" s="587"/>
      <c r="AA32" s="587"/>
      <c r="AB32" s="587"/>
      <c r="AC32" s="587"/>
      <c r="AD32" s="587"/>
      <c r="AE32" s="587"/>
      <c r="AF32" s="587"/>
      <c r="AG32" s="587"/>
      <c r="AH32" s="587"/>
      <c r="AI32" s="587"/>
      <c r="AJ32" s="587"/>
      <c r="AK32" s="587"/>
      <c r="AL32" s="587"/>
      <c r="AM32" s="588"/>
      <c r="AN32" s="588"/>
      <c r="AO32" s="589"/>
      <c r="AS32" s="34"/>
    </row>
    <row r="33" spans="1:46" ht="75.75" thickBot="1" x14ac:dyDescent="0.3">
      <c r="A33" s="449" t="s">
        <v>52</v>
      </c>
      <c r="B33" s="450" t="s">
        <v>53</v>
      </c>
      <c r="C33" s="450" t="s">
        <v>54</v>
      </c>
      <c r="D33" s="448" t="s">
        <v>55</v>
      </c>
      <c r="E33" s="358" t="s">
        <v>56</v>
      </c>
      <c r="F33" s="358" t="s">
        <v>57</v>
      </c>
      <c r="G33" s="358" t="s">
        <v>58</v>
      </c>
      <c r="H33" s="358" t="s">
        <v>59</v>
      </c>
      <c r="I33" s="358" t="s">
        <v>60</v>
      </c>
      <c r="J33" s="358" t="s">
        <v>61</v>
      </c>
      <c r="K33" s="359" t="s">
        <v>62</v>
      </c>
      <c r="L33" s="528" t="s">
        <v>63</v>
      </c>
      <c r="M33" s="360" t="s">
        <v>64</v>
      </c>
      <c r="N33" s="358" t="s">
        <v>65</v>
      </c>
      <c r="O33" s="358" t="s">
        <v>66</v>
      </c>
      <c r="P33" s="358" t="s">
        <v>67</v>
      </c>
      <c r="Q33" s="443" t="s">
        <v>68</v>
      </c>
      <c r="R33" s="230">
        <v>2023</v>
      </c>
      <c r="S33" s="229">
        <v>2024</v>
      </c>
      <c r="T33" s="229">
        <v>2025</v>
      </c>
      <c r="U33" s="229">
        <v>2026</v>
      </c>
      <c r="V33" s="228">
        <v>2027</v>
      </c>
      <c r="W33" s="227">
        <v>2028</v>
      </c>
      <c r="X33" s="603" t="s">
        <v>69</v>
      </c>
      <c r="Y33" s="604"/>
      <c r="Z33" s="605"/>
      <c r="AA33" s="603">
        <v>2024</v>
      </c>
      <c r="AB33" s="604"/>
      <c r="AC33" s="605"/>
      <c r="AD33" s="603">
        <v>2025</v>
      </c>
      <c r="AE33" s="604"/>
      <c r="AF33" s="605"/>
      <c r="AG33" s="603">
        <v>2026</v>
      </c>
      <c r="AH33" s="604"/>
      <c r="AI33" s="605"/>
      <c r="AJ33" s="603">
        <v>2027</v>
      </c>
      <c r="AK33" s="604"/>
      <c r="AL33" s="604"/>
      <c r="AM33" s="600">
        <v>2028</v>
      </c>
      <c r="AN33" s="601"/>
      <c r="AO33" s="602"/>
      <c r="AP33" s="582" t="s">
        <v>70</v>
      </c>
      <c r="AQ33" s="22" t="s">
        <v>71</v>
      </c>
      <c r="AR33" s="22" t="s">
        <v>72</v>
      </c>
      <c r="AS33" s="434" t="s">
        <v>73</v>
      </c>
      <c r="AT33" s="452" t="s">
        <v>74</v>
      </c>
    </row>
    <row r="34" spans="1:46" s="206" customFormat="1" ht="121.5" customHeight="1" thickBot="1" x14ac:dyDescent="0.3">
      <c r="A34" s="451" t="s">
        <v>75</v>
      </c>
      <c r="B34" s="364" t="s">
        <v>76</v>
      </c>
      <c r="C34" s="364" t="s">
        <v>77</v>
      </c>
      <c r="D34" s="364" t="s">
        <v>78</v>
      </c>
      <c r="E34" s="365" t="s">
        <v>79</v>
      </c>
      <c r="F34" s="365" t="s">
        <v>79</v>
      </c>
      <c r="G34" s="365" t="s">
        <v>80</v>
      </c>
      <c r="H34" s="364" t="s">
        <v>81</v>
      </c>
      <c r="I34" s="364" t="s">
        <v>82</v>
      </c>
      <c r="J34" s="364" t="s">
        <v>83</v>
      </c>
      <c r="K34" s="364" t="s">
        <v>84</v>
      </c>
      <c r="L34" s="529" t="s">
        <v>85</v>
      </c>
      <c r="M34" s="363" t="s">
        <v>86</v>
      </c>
      <c r="N34" s="363" t="s">
        <v>87</v>
      </c>
      <c r="O34" s="366" t="s">
        <v>88</v>
      </c>
      <c r="P34" s="365" t="s">
        <v>79</v>
      </c>
      <c r="Q34" s="367"/>
      <c r="R34" s="611"/>
      <c r="S34" s="612"/>
      <c r="T34" s="612"/>
      <c r="U34" s="612"/>
      <c r="V34" s="612"/>
      <c r="W34" s="613"/>
      <c r="X34" s="28" t="s">
        <v>89</v>
      </c>
      <c r="Y34" s="25" t="s">
        <v>90</v>
      </c>
      <c r="Z34" s="26" t="s">
        <v>91</v>
      </c>
      <c r="AA34" s="24" t="s">
        <v>89</v>
      </c>
      <c r="AB34" s="25" t="s">
        <v>90</v>
      </c>
      <c r="AC34" s="27" t="s">
        <v>91</v>
      </c>
      <c r="AD34" s="28" t="s">
        <v>89</v>
      </c>
      <c r="AE34" s="25" t="s">
        <v>90</v>
      </c>
      <c r="AF34" s="26" t="s">
        <v>91</v>
      </c>
      <c r="AG34" s="28" t="s">
        <v>89</v>
      </c>
      <c r="AH34" s="25" t="s">
        <v>90</v>
      </c>
      <c r="AI34" s="26" t="s">
        <v>91</v>
      </c>
      <c r="AJ34" s="28" t="s">
        <v>89</v>
      </c>
      <c r="AK34" s="25" t="s">
        <v>90</v>
      </c>
      <c r="AL34" s="27" t="s">
        <v>91</v>
      </c>
      <c r="AM34" s="28" t="s">
        <v>89</v>
      </c>
      <c r="AN34" s="25" t="s">
        <v>90</v>
      </c>
      <c r="AO34" s="27" t="s">
        <v>91</v>
      </c>
      <c r="AP34" s="430" t="s">
        <v>92</v>
      </c>
      <c r="AQ34" s="375" t="s">
        <v>79</v>
      </c>
      <c r="AR34" s="375" t="s">
        <v>93</v>
      </c>
      <c r="AS34" s="431" t="s">
        <v>94</v>
      </c>
      <c r="AT34" s="375" t="s">
        <v>95</v>
      </c>
    </row>
    <row r="35" spans="1:46" s="161" customFormat="1" ht="15.75" x14ac:dyDescent="0.25">
      <c r="A35" s="444" t="s">
        <v>96</v>
      </c>
      <c r="B35" s="515"/>
      <c r="C35" s="515"/>
      <c r="D35" s="234" t="s">
        <v>96</v>
      </c>
      <c r="E35" s="234" t="s">
        <v>97</v>
      </c>
      <c r="F35" s="234" t="s">
        <v>98</v>
      </c>
      <c r="G35" s="234" t="s">
        <v>99</v>
      </c>
      <c r="H35" s="234"/>
      <c r="I35" s="234" t="s">
        <v>100</v>
      </c>
      <c r="J35" s="515" t="s">
        <v>101</v>
      </c>
      <c r="K35" s="234" t="s">
        <v>102</v>
      </c>
      <c r="L35" s="530" t="s">
        <v>103</v>
      </c>
      <c r="M35" s="234">
        <v>1</v>
      </c>
      <c r="N35" s="234">
        <v>32</v>
      </c>
      <c r="O35" s="234" t="s">
        <v>104</v>
      </c>
      <c r="P35" s="234" t="s">
        <v>105</v>
      </c>
      <c r="Q35" s="278">
        <f t="shared" ref="Q35:Q94" si="1">SUM(R35:W35)</f>
        <v>172809</v>
      </c>
      <c r="R35" s="287">
        <f t="shared" ref="R35" si="2">SUM(X35:Z35)</f>
        <v>0</v>
      </c>
      <c r="S35" s="286">
        <f t="shared" ref="S35" si="3">SUM(AA35:AC35)</f>
        <v>57609</v>
      </c>
      <c r="T35" s="286">
        <f t="shared" ref="T35" si="4">SUM(AD35:AF35)</f>
        <v>115200</v>
      </c>
      <c r="U35" s="286">
        <f t="shared" ref="U35" si="5">SUM(AG35:AI35)</f>
        <v>0</v>
      </c>
      <c r="V35" s="286">
        <f>SUM(AJ35:AL35)</f>
        <v>0</v>
      </c>
      <c r="W35" s="288">
        <f>SUM(AM35:AO35)</f>
        <v>0</v>
      </c>
      <c r="X35" s="245"/>
      <c r="Y35" s="246"/>
      <c r="Z35" s="247"/>
      <c r="AA35" s="248"/>
      <c r="AB35" s="246">
        <v>27609</v>
      </c>
      <c r="AC35" s="246">
        <v>30000</v>
      </c>
      <c r="AD35" s="245"/>
      <c r="AE35" s="246">
        <v>55200</v>
      </c>
      <c r="AF35" s="247">
        <v>60000</v>
      </c>
      <c r="AG35" s="245"/>
      <c r="AH35" s="246"/>
      <c r="AI35" s="247"/>
      <c r="AJ35" s="245"/>
      <c r="AK35" s="246"/>
      <c r="AL35" s="246"/>
      <c r="AM35" s="249"/>
      <c r="AN35" s="250"/>
      <c r="AO35" s="247"/>
      <c r="AP35" s="251" t="s">
        <v>106</v>
      </c>
      <c r="AQ35" s="516" t="s">
        <v>107</v>
      </c>
      <c r="AR35" s="516" t="s">
        <v>108</v>
      </c>
      <c r="AS35" s="435"/>
      <c r="AT35" s="437"/>
    </row>
    <row r="36" spans="1:46" s="207" customFormat="1" ht="15.75" x14ac:dyDescent="0.25">
      <c r="A36" s="444" t="s">
        <v>96</v>
      </c>
      <c r="B36" s="517"/>
      <c r="C36" s="517"/>
      <c r="D36" s="235" t="s">
        <v>96</v>
      </c>
      <c r="E36" s="235" t="s">
        <v>97</v>
      </c>
      <c r="F36" s="235" t="s">
        <v>109</v>
      </c>
      <c r="G36" s="235" t="s">
        <v>110</v>
      </c>
      <c r="H36" s="235"/>
      <c r="I36" s="235" t="s">
        <v>111</v>
      </c>
      <c r="J36" s="517" t="s">
        <v>112</v>
      </c>
      <c r="K36" s="235" t="s">
        <v>113</v>
      </c>
      <c r="L36" s="530" t="s">
        <v>103</v>
      </c>
      <c r="M36" s="235">
        <v>4</v>
      </c>
      <c r="N36" s="235">
        <v>33</v>
      </c>
      <c r="O36" s="235" t="s">
        <v>114</v>
      </c>
      <c r="P36" s="235" t="s">
        <v>105</v>
      </c>
      <c r="Q36" s="278">
        <f t="shared" si="1"/>
        <v>100000</v>
      </c>
      <c r="R36" s="279">
        <f t="shared" ref="R36" si="6">SUM(X36:Z36)</f>
        <v>0</v>
      </c>
      <c r="S36" s="289">
        <f t="shared" ref="S36" si="7">SUM(AA36:AC36)</f>
        <v>50000</v>
      </c>
      <c r="T36" s="289">
        <f t="shared" ref="T36" si="8">SUM(AD36:AF36)</f>
        <v>50000</v>
      </c>
      <c r="U36" s="289">
        <f t="shared" ref="U36" si="9">SUM(AG36:AI36)</f>
        <v>0</v>
      </c>
      <c r="V36" s="290">
        <f>SUM(AJ36:AL36)</f>
        <v>0</v>
      </c>
      <c r="W36" s="291">
        <f t="shared" ref="W36:W94" si="10">SUM(AM36:AO36)</f>
        <v>0</v>
      </c>
      <c r="X36" s="245"/>
      <c r="Y36" s="246"/>
      <c r="Z36" s="247"/>
      <c r="AA36" s="248"/>
      <c r="AB36" s="246"/>
      <c r="AC36" s="246">
        <v>50000</v>
      </c>
      <c r="AD36" s="245"/>
      <c r="AE36" s="246"/>
      <c r="AF36" s="247">
        <v>50000</v>
      </c>
      <c r="AG36" s="245"/>
      <c r="AH36" s="246"/>
      <c r="AI36" s="247"/>
      <c r="AJ36" s="245"/>
      <c r="AK36" s="246"/>
      <c r="AL36" s="246"/>
      <c r="AM36" s="254"/>
      <c r="AN36" s="255"/>
      <c r="AO36" s="256"/>
      <c r="AP36" s="251" t="s">
        <v>115</v>
      </c>
      <c r="AQ36" s="516" t="s">
        <v>116</v>
      </c>
      <c r="AR36" s="516"/>
      <c r="AS36" s="261"/>
      <c r="AT36" s="438"/>
    </row>
    <row r="37" spans="1:46" s="207" customFormat="1" ht="15.75" x14ac:dyDescent="0.25">
      <c r="A37" s="444" t="s">
        <v>96</v>
      </c>
      <c r="B37" s="517"/>
      <c r="C37" s="517"/>
      <c r="D37" s="235" t="s">
        <v>96</v>
      </c>
      <c r="E37" s="235" t="s">
        <v>97</v>
      </c>
      <c r="F37" s="235" t="s">
        <v>109</v>
      </c>
      <c r="G37" s="235" t="s">
        <v>117</v>
      </c>
      <c r="H37" s="235"/>
      <c r="I37" s="235" t="s">
        <v>118</v>
      </c>
      <c r="J37" s="518" t="s">
        <v>119</v>
      </c>
      <c r="K37" s="235" t="s">
        <v>120</v>
      </c>
      <c r="L37" s="530" t="s">
        <v>103</v>
      </c>
      <c r="M37" s="235">
        <v>5</v>
      </c>
      <c r="N37" s="235" t="s">
        <v>121</v>
      </c>
      <c r="O37" s="235" t="s">
        <v>122</v>
      </c>
      <c r="P37" s="235" t="s">
        <v>105</v>
      </c>
      <c r="Q37" s="278">
        <f t="shared" si="1"/>
        <v>334136</v>
      </c>
      <c r="R37" s="279">
        <f t="shared" ref="R37:R94" si="11">SUM(X37:Z37)</f>
        <v>0</v>
      </c>
      <c r="S37" s="289">
        <f t="shared" ref="S37:S94" si="12">SUM(AA37:AC37)</f>
        <v>131286</v>
      </c>
      <c r="T37" s="289">
        <f t="shared" ref="T37:T94" si="13">SUM(AD37:AF37)</f>
        <v>202850</v>
      </c>
      <c r="U37" s="289">
        <f t="shared" ref="U37:U94" si="14">SUM(AG37:AI37)</f>
        <v>0</v>
      </c>
      <c r="V37" s="290">
        <f t="shared" ref="V37:V94" si="15">SUM(AJ37:AL37)</f>
        <v>0</v>
      </c>
      <c r="W37" s="291">
        <f t="shared" si="10"/>
        <v>0</v>
      </c>
      <c r="X37" s="245"/>
      <c r="Y37" s="246"/>
      <c r="Z37" s="247"/>
      <c r="AA37" s="248">
        <v>100000</v>
      </c>
      <c r="AB37" s="246">
        <f>29286+2000</f>
        <v>31286</v>
      </c>
      <c r="AC37" s="246"/>
      <c r="AD37" s="245">
        <v>170000</v>
      </c>
      <c r="AE37" s="246">
        <v>32850</v>
      </c>
      <c r="AF37" s="247"/>
      <c r="AG37" s="245"/>
      <c r="AH37" s="246"/>
      <c r="AI37" s="247"/>
      <c r="AJ37" s="245"/>
      <c r="AK37" s="246"/>
      <c r="AL37" s="246"/>
      <c r="AM37" s="254"/>
      <c r="AN37" s="255"/>
      <c r="AO37" s="256"/>
      <c r="AP37" s="251" t="s">
        <v>123</v>
      </c>
      <c r="AQ37" s="516" t="s">
        <v>107</v>
      </c>
      <c r="AR37" s="516" t="s">
        <v>124</v>
      </c>
      <c r="AS37" s="261"/>
      <c r="AT37" s="438"/>
    </row>
    <row r="38" spans="1:46" s="207" customFormat="1" ht="15.75" x14ac:dyDescent="0.25">
      <c r="A38" s="444" t="s">
        <v>96</v>
      </c>
      <c r="B38" s="517"/>
      <c r="C38" s="517"/>
      <c r="D38" s="235" t="s">
        <v>96</v>
      </c>
      <c r="E38" s="235" t="s">
        <v>125</v>
      </c>
      <c r="F38" s="235" t="s">
        <v>126</v>
      </c>
      <c r="G38" s="235" t="s">
        <v>127</v>
      </c>
      <c r="H38" s="235"/>
      <c r="I38" s="235" t="s">
        <v>128</v>
      </c>
      <c r="J38" s="518" t="s">
        <v>129</v>
      </c>
      <c r="K38" s="235" t="s">
        <v>130</v>
      </c>
      <c r="L38" s="530" t="s">
        <v>103</v>
      </c>
      <c r="M38" s="235">
        <v>2</v>
      </c>
      <c r="N38" s="235">
        <v>34</v>
      </c>
      <c r="O38" s="235" t="s">
        <v>114</v>
      </c>
      <c r="P38" s="235" t="s">
        <v>105</v>
      </c>
      <c r="Q38" s="278">
        <f t="shared" si="1"/>
        <v>163952</v>
      </c>
      <c r="R38" s="279">
        <f t="shared" si="11"/>
        <v>0</v>
      </c>
      <c r="S38" s="289">
        <f t="shared" si="12"/>
        <v>106976</v>
      </c>
      <c r="T38" s="289">
        <f t="shared" si="13"/>
        <v>56976</v>
      </c>
      <c r="U38" s="289">
        <f t="shared" si="14"/>
        <v>0</v>
      </c>
      <c r="V38" s="290">
        <f t="shared" si="15"/>
        <v>0</v>
      </c>
      <c r="W38" s="291">
        <f t="shared" si="10"/>
        <v>0</v>
      </c>
      <c r="X38" s="245"/>
      <c r="Y38" s="246"/>
      <c r="Z38" s="247"/>
      <c r="AA38" s="248"/>
      <c r="AB38" s="246">
        <v>56976</v>
      </c>
      <c r="AC38" s="246">
        <v>50000</v>
      </c>
      <c r="AD38" s="245"/>
      <c r="AE38" s="246">
        <v>56976</v>
      </c>
      <c r="AF38" s="247"/>
      <c r="AG38" s="245"/>
      <c r="AH38" s="246"/>
      <c r="AI38" s="247"/>
      <c r="AJ38" s="245"/>
      <c r="AK38" s="246"/>
      <c r="AL38" s="246"/>
      <c r="AM38" s="254"/>
      <c r="AN38" s="255"/>
      <c r="AO38" s="256"/>
      <c r="AP38" s="251" t="s">
        <v>131</v>
      </c>
      <c r="AQ38" s="516" t="s">
        <v>107</v>
      </c>
      <c r="AR38" s="516" t="s">
        <v>108</v>
      </c>
      <c r="AS38" s="261"/>
      <c r="AT38" s="438"/>
    </row>
    <row r="39" spans="1:46" s="207" customFormat="1" ht="15.75" x14ac:dyDescent="0.25">
      <c r="A39" s="444" t="s">
        <v>96</v>
      </c>
      <c r="B39" s="517"/>
      <c r="C39" s="517"/>
      <c r="D39" s="235" t="s">
        <v>96</v>
      </c>
      <c r="E39" s="235" t="s">
        <v>97</v>
      </c>
      <c r="F39" s="235" t="s">
        <v>132</v>
      </c>
      <c r="G39" s="235" t="s">
        <v>99</v>
      </c>
      <c r="H39" s="235"/>
      <c r="I39" s="235" t="s">
        <v>133</v>
      </c>
      <c r="J39" s="517" t="s">
        <v>134</v>
      </c>
      <c r="K39" s="235" t="s">
        <v>135</v>
      </c>
      <c r="L39" s="530" t="s">
        <v>103</v>
      </c>
      <c r="M39" s="235">
        <v>6</v>
      </c>
      <c r="N39" s="235">
        <v>35</v>
      </c>
      <c r="O39" s="235" t="s">
        <v>114</v>
      </c>
      <c r="P39" s="235" t="s">
        <v>105</v>
      </c>
      <c r="Q39" s="278">
        <f t="shared" si="1"/>
        <v>116133</v>
      </c>
      <c r="R39" s="279">
        <f t="shared" si="11"/>
        <v>0</v>
      </c>
      <c r="S39" s="289">
        <f>SUM(AA39:AC39)</f>
        <v>42133</v>
      </c>
      <c r="T39" s="289">
        <f t="shared" si="13"/>
        <v>74000</v>
      </c>
      <c r="U39" s="289">
        <f t="shared" si="14"/>
        <v>0</v>
      </c>
      <c r="V39" s="290">
        <f t="shared" si="15"/>
        <v>0</v>
      </c>
      <c r="W39" s="291">
        <f t="shared" si="10"/>
        <v>0</v>
      </c>
      <c r="X39" s="245"/>
      <c r="Y39" s="246"/>
      <c r="Z39" s="247"/>
      <c r="AA39" s="248"/>
      <c r="AB39" s="246">
        <v>42133</v>
      </c>
      <c r="AC39" s="246"/>
      <c r="AD39" s="245"/>
      <c r="AE39" s="246">
        <v>49000</v>
      </c>
      <c r="AF39" s="247">
        <v>25000</v>
      </c>
      <c r="AG39" s="245"/>
      <c r="AH39" s="257"/>
      <c r="AI39" s="247"/>
      <c r="AJ39" s="245"/>
      <c r="AK39" s="246"/>
      <c r="AL39" s="246"/>
      <c r="AM39" s="254"/>
      <c r="AN39" s="255"/>
      <c r="AO39" s="256"/>
      <c r="AP39" s="251" t="s">
        <v>136</v>
      </c>
      <c r="AQ39" s="516" t="s">
        <v>116</v>
      </c>
      <c r="AR39" s="516"/>
      <c r="AS39" s="261"/>
      <c r="AT39" s="438"/>
    </row>
    <row r="40" spans="1:46" s="161" customFormat="1" ht="15.75" x14ac:dyDescent="0.25">
      <c r="A40" s="444" t="s">
        <v>96</v>
      </c>
      <c r="B40" s="517"/>
      <c r="C40" s="517"/>
      <c r="D40" s="235" t="s">
        <v>96</v>
      </c>
      <c r="E40" s="235" t="s">
        <v>97</v>
      </c>
      <c r="F40" s="235" t="s">
        <v>137</v>
      </c>
      <c r="G40" s="235" t="s">
        <v>110</v>
      </c>
      <c r="H40" s="235"/>
      <c r="I40" s="235" t="s">
        <v>138</v>
      </c>
      <c r="J40" s="517" t="s">
        <v>139</v>
      </c>
      <c r="K40" s="235" t="s">
        <v>140</v>
      </c>
      <c r="L40" s="530" t="s">
        <v>103</v>
      </c>
      <c r="M40" s="235">
        <v>7</v>
      </c>
      <c r="N40" s="235"/>
      <c r="O40" s="235" t="s">
        <v>114</v>
      </c>
      <c r="P40" s="235" t="s">
        <v>105</v>
      </c>
      <c r="Q40" s="278">
        <f t="shared" si="1"/>
        <v>24000</v>
      </c>
      <c r="R40" s="279">
        <f t="shared" si="11"/>
        <v>0</v>
      </c>
      <c r="S40" s="289">
        <f t="shared" si="12"/>
        <v>12000</v>
      </c>
      <c r="T40" s="289">
        <f t="shared" si="13"/>
        <v>12000</v>
      </c>
      <c r="U40" s="289">
        <f t="shared" si="14"/>
        <v>0</v>
      </c>
      <c r="V40" s="290">
        <f t="shared" si="15"/>
        <v>0</v>
      </c>
      <c r="W40" s="291">
        <f t="shared" si="10"/>
        <v>0</v>
      </c>
      <c r="X40" s="245"/>
      <c r="Y40" s="246"/>
      <c r="Z40" s="247"/>
      <c r="AA40" s="248"/>
      <c r="AB40" s="246"/>
      <c r="AC40" s="246">
        <v>12000</v>
      </c>
      <c r="AD40" s="245"/>
      <c r="AE40" s="246"/>
      <c r="AF40" s="247">
        <v>12000</v>
      </c>
      <c r="AG40" s="245"/>
      <c r="AH40" s="246"/>
      <c r="AI40" s="247"/>
      <c r="AJ40" s="245"/>
      <c r="AK40" s="246"/>
      <c r="AL40" s="246"/>
      <c r="AM40" s="254"/>
      <c r="AN40" s="255"/>
      <c r="AO40" s="256"/>
      <c r="AP40" s="251" t="s">
        <v>141</v>
      </c>
      <c r="AQ40" s="516" t="s">
        <v>116</v>
      </c>
      <c r="AR40" s="516"/>
      <c r="AS40" s="436"/>
      <c r="AT40" s="373"/>
    </row>
    <row r="41" spans="1:46" s="207" customFormat="1" ht="15.75" x14ac:dyDescent="0.25">
      <c r="A41" s="444" t="s">
        <v>96</v>
      </c>
      <c r="B41" s="517"/>
      <c r="C41" s="517"/>
      <c r="D41" s="235" t="s">
        <v>96</v>
      </c>
      <c r="E41" s="235" t="s">
        <v>97</v>
      </c>
      <c r="F41" s="235" t="s">
        <v>109</v>
      </c>
      <c r="G41" s="235" t="s">
        <v>99</v>
      </c>
      <c r="H41" s="235"/>
      <c r="I41" s="235" t="s">
        <v>142</v>
      </c>
      <c r="J41" s="517" t="s">
        <v>143</v>
      </c>
      <c r="K41" s="235" t="s">
        <v>144</v>
      </c>
      <c r="L41" s="531"/>
      <c r="M41" s="235">
        <v>8</v>
      </c>
      <c r="N41" s="235"/>
      <c r="O41" s="235" t="s">
        <v>114</v>
      </c>
      <c r="P41" s="235" t="s">
        <v>145</v>
      </c>
      <c r="Q41" s="278">
        <f t="shared" si="1"/>
        <v>274000</v>
      </c>
      <c r="R41" s="279">
        <f t="shared" si="11"/>
        <v>150000</v>
      </c>
      <c r="S41" s="289">
        <f t="shared" si="12"/>
        <v>62000</v>
      </c>
      <c r="T41" s="289">
        <f t="shared" si="13"/>
        <v>62000</v>
      </c>
      <c r="U41" s="289">
        <f t="shared" si="14"/>
        <v>0</v>
      </c>
      <c r="V41" s="290">
        <f t="shared" si="15"/>
        <v>0</v>
      </c>
      <c r="W41" s="291">
        <f t="shared" si="10"/>
        <v>0</v>
      </c>
      <c r="X41" s="245"/>
      <c r="Y41" s="246">
        <v>140000</v>
      </c>
      <c r="Z41" s="247">
        <v>10000</v>
      </c>
      <c r="AA41" s="248"/>
      <c r="AB41" s="246">
        <v>52000</v>
      </c>
      <c r="AC41" s="246">
        <v>10000</v>
      </c>
      <c r="AD41" s="245"/>
      <c r="AE41" s="246">
        <v>52000</v>
      </c>
      <c r="AF41" s="247">
        <v>10000</v>
      </c>
      <c r="AG41" s="245"/>
      <c r="AH41" s="246"/>
      <c r="AI41" s="247"/>
      <c r="AJ41" s="245"/>
      <c r="AK41" s="246"/>
      <c r="AL41" s="246"/>
      <c r="AM41" s="254"/>
      <c r="AN41" s="255"/>
      <c r="AO41" s="256"/>
      <c r="AP41" s="251" t="s">
        <v>146</v>
      </c>
      <c r="AQ41" s="516" t="s">
        <v>147</v>
      </c>
      <c r="AR41" s="516" t="s">
        <v>148</v>
      </c>
      <c r="AS41" s="261"/>
      <c r="AT41" s="438"/>
    </row>
    <row r="42" spans="1:46" s="207" customFormat="1" ht="15.75" x14ac:dyDescent="0.25">
      <c r="A42" s="444" t="s">
        <v>96</v>
      </c>
      <c r="B42" s="517"/>
      <c r="C42" s="517"/>
      <c r="D42" s="235" t="s">
        <v>96</v>
      </c>
      <c r="E42" s="235" t="s">
        <v>125</v>
      </c>
      <c r="F42" s="235" t="s">
        <v>126</v>
      </c>
      <c r="G42" s="235" t="s">
        <v>127</v>
      </c>
      <c r="H42" s="235"/>
      <c r="I42" s="235" t="s">
        <v>149</v>
      </c>
      <c r="J42" s="519" t="s">
        <v>150</v>
      </c>
      <c r="K42" s="235" t="s">
        <v>151</v>
      </c>
      <c r="L42" s="531"/>
      <c r="M42" s="235">
        <v>10</v>
      </c>
      <c r="N42" s="235">
        <v>36</v>
      </c>
      <c r="O42" s="235" t="s">
        <v>114</v>
      </c>
      <c r="P42" s="235" t="s">
        <v>152</v>
      </c>
      <c r="Q42" s="278">
        <f t="shared" si="1"/>
        <v>545500</v>
      </c>
      <c r="R42" s="279">
        <f t="shared" si="11"/>
        <v>0</v>
      </c>
      <c r="S42" s="289">
        <f t="shared" si="12"/>
        <v>0</v>
      </c>
      <c r="T42" s="289">
        <f t="shared" si="13"/>
        <v>545500</v>
      </c>
      <c r="U42" s="289">
        <f t="shared" si="14"/>
        <v>0</v>
      </c>
      <c r="V42" s="290">
        <f t="shared" si="15"/>
        <v>0</v>
      </c>
      <c r="W42" s="291">
        <f t="shared" si="10"/>
        <v>0</v>
      </c>
      <c r="X42" s="245"/>
      <c r="Y42" s="246"/>
      <c r="Z42" s="247"/>
      <c r="AA42" s="248"/>
      <c r="AB42" s="246"/>
      <c r="AC42" s="246"/>
      <c r="AD42" s="245">
        <v>395500</v>
      </c>
      <c r="AE42" s="246">
        <v>50000</v>
      </c>
      <c r="AF42" s="247">
        <v>100000</v>
      </c>
      <c r="AG42" s="245"/>
      <c r="AH42" s="246"/>
      <c r="AI42" s="247"/>
      <c r="AJ42" s="245"/>
      <c r="AK42" s="246"/>
      <c r="AL42" s="246"/>
      <c r="AM42" s="254"/>
      <c r="AN42" s="255"/>
      <c r="AO42" s="256"/>
      <c r="AP42" s="251" t="s">
        <v>153</v>
      </c>
      <c r="AQ42" s="516" t="s">
        <v>147</v>
      </c>
      <c r="AR42" s="516" t="s">
        <v>154</v>
      </c>
      <c r="AS42" s="261" t="s">
        <v>155</v>
      </c>
      <c r="AT42" s="438" t="s">
        <v>156</v>
      </c>
    </row>
    <row r="43" spans="1:46" s="207" customFormat="1" ht="15.75" x14ac:dyDescent="0.25">
      <c r="A43" s="231" t="s">
        <v>96</v>
      </c>
      <c r="B43" s="515"/>
      <c r="C43" s="517"/>
      <c r="D43" s="235" t="s">
        <v>96</v>
      </c>
      <c r="E43" s="234" t="s">
        <v>97</v>
      </c>
      <c r="F43" s="234" t="s">
        <v>109</v>
      </c>
      <c r="G43" s="235" t="s">
        <v>99</v>
      </c>
      <c r="H43" s="234"/>
      <c r="I43" s="234" t="s">
        <v>157</v>
      </c>
      <c r="J43" s="515" t="s">
        <v>158</v>
      </c>
      <c r="K43" s="234" t="s">
        <v>159</v>
      </c>
      <c r="L43" s="530"/>
      <c r="M43" s="234">
        <v>9</v>
      </c>
      <c r="N43" s="234" t="s">
        <v>160</v>
      </c>
      <c r="O43" s="234" t="s">
        <v>114</v>
      </c>
      <c r="P43" s="234" t="s">
        <v>152</v>
      </c>
      <c r="Q43" s="278">
        <f t="shared" si="1"/>
        <v>100000</v>
      </c>
      <c r="R43" s="279">
        <f t="shared" si="11"/>
        <v>0</v>
      </c>
      <c r="S43" s="289">
        <f t="shared" si="12"/>
        <v>60000</v>
      </c>
      <c r="T43" s="289">
        <f t="shared" si="13"/>
        <v>40000</v>
      </c>
      <c r="U43" s="289">
        <f t="shared" si="14"/>
        <v>0</v>
      </c>
      <c r="V43" s="290">
        <f t="shared" si="15"/>
        <v>0</v>
      </c>
      <c r="W43" s="291">
        <f t="shared" si="10"/>
        <v>0</v>
      </c>
      <c r="X43" s="245"/>
      <c r="Y43" s="246"/>
      <c r="Z43" s="247"/>
      <c r="AA43" s="248"/>
      <c r="AB43" s="246"/>
      <c r="AC43" s="246">
        <v>60000</v>
      </c>
      <c r="AD43" s="245"/>
      <c r="AE43" s="246"/>
      <c r="AF43" s="247">
        <v>40000</v>
      </c>
      <c r="AG43" s="245"/>
      <c r="AH43" s="246"/>
      <c r="AI43" s="247"/>
      <c r="AJ43" s="245"/>
      <c r="AK43" s="246"/>
      <c r="AL43" s="246"/>
      <c r="AM43" s="254"/>
      <c r="AN43" s="255"/>
      <c r="AO43" s="256"/>
      <c r="AP43" s="251" t="s">
        <v>161</v>
      </c>
      <c r="AQ43" s="516" t="s">
        <v>147</v>
      </c>
      <c r="AR43" s="516" t="s">
        <v>162</v>
      </c>
      <c r="AS43" s="261" t="s">
        <v>163</v>
      </c>
      <c r="AT43" s="438" t="s">
        <v>164</v>
      </c>
    </row>
    <row r="44" spans="1:46" s="207" customFormat="1" ht="15.75" x14ac:dyDescent="0.25">
      <c r="A44" s="231" t="s">
        <v>96</v>
      </c>
      <c r="B44" s="515"/>
      <c r="C44" s="515"/>
      <c r="D44" s="234" t="s">
        <v>96</v>
      </c>
      <c r="E44" s="234" t="s">
        <v>97</v>
      </c>
      <c r="F44" s="234" t="s">
        <v>165</v>
      </c>
      <c r="G44" s="235" t="s">
        <v>117</v>
      </c>
      <c r="H44" s="234"/>
      <c r="I44" s="234" t="s">
        <v>166</v>
      </c>
      <c r="J44" s="520" t="s">
        <v>167</v>
      </c>
      <c r="K44" s="234" t="s">
        <v>168</v>
      </c>
      <c r="L44" s="530" t="s">
        <v>103</v>
      </c>
      <c r="M44" s="234">
        <v>3</v>
      </c>
      <c r="N44" s="234"/>
      <c r="O44" s="234" t="s">
        <v>104</v>
      </c>
      <c r="P44" s="234" t="s">
        <v>105</v>
      </c>
      <c r="Q44" s="278">
        <f t="shared" si="1"/>
        <v>108500</v>
      </c>
      <c r="R44" s="279">
        <f t="shared" si="11"/>
        <v>0</v>
      </c>
      <c r="S44" s="289">
        <f t="shared" si="12"/>
        <v>0</v>
      </c>
      <c r="T44" s="289">
        <f t="shared" si="13"/>
        <v>108500</v>
      </c>
      <c r="U44" s="289">
        <f t="shared" si="14"/>
        <v>0</v>
      </c>
      <c r="V44" s="290">
        <f t="shared" si="15"/>
        <v>0</v>
      </c>
      <c r="W44" s="291">
        <f t="shared" si="10"/>
        <v>0</v>
      </c>
      <c r="X44" s="245"/>
      <c r="Y44" s="246"/>
      <c r="Z44" s="247"/>
      <c r="AA44" s="248"/>
      <c r="AB44" s="246"/>
      <c r="AC44" s="246"/>
      <c r="AD44" s="245"/>
      <c r="AE44" s="246">
        <v>28500</v>
      </c>
      <c r="AF44" s="247">
        <v>80000</v>
      </c>
      <c r="AG44" s="245"/>
      <c r="AH44" s="246"/>
      <c r="AI44" s="247"/>
      <c r="AJ44" s="245"/>
      <c r="AK44" s="246"/>
      <c r="AL44" s="246"/>
      <c r="AM44" s="254"/>
      <c r="AN44" s="255"/>
      <c r="AO44" s="256"/>
      <c r="AP44" s="251" t="s">
        <v>169</v>
      </c>
      <c r="AQ44" s="516" t="s">
        <v>116</v>
      </c>
      <c r="AR44" s="516"/>
      <c r="AS44" s="261"/>
      <c r="AT44" s="438"/>
    </row>
    <row r="45" spans="1:46" s="207" customFormat="1" ht="15.75" x14ac:dyDescent="0.25">
      <c r="A45" s="231" t="s">
        <v>96</v>
      </c>
      <c r="B45" s="515"/>
      <c r="C45" s="515"/>
      <c r="D45" s="234" t="s">
        <v>96</v>
      </c>
      <c r="E45" s="234" t="s">
        <v>97</v>
      </c>
      <c r="F45" s="234" t="s">
        <v>165</v>
      </c>
      <c r="G45" s="235" t="s">
        <v>117</v>
      </c>
      <c r="H45" s="234"/>
      <c r="I45" s="234" t="s">
        <v>170</v>
      </c>
      <c r="J45" s="520" t="s">
        <v>171</v>
      </c>
      <c r="K45" s="234" t="s">
        <v>172</v>
      </c>
      <c r="L45" s="530"/>
      <c r="M45" s="234"/>
      <c r="N45" s="234" t="s">
        <v>173</v>
      </c>
      <c r="O45" s="234"/>
      <c r="P45" s="234" t="s">
        <v>18</v>
      </c>
      <c r="Q45" s="278">
        <f t="shared" si="1"/>
        <v>42957</v>
      </c>
      <c r="R45" s="279">
        <f t="shared" si="11"/>
        <v>14933</v>
      </c>
      <c r="S45" s="289">
        <f t="shared" si="12"/>
        <v>28024</v>
      </c>
      <c r="T45" s="289">
        <f t="shared" si="13"/>
        <v>0</v>
      </c>
      <c r="U45" s="289">
        <f t="shared" si="14"/>
        <v>0</v>
      </c>
      <c r="V45" s="290">
        <f t="shared" si="15"/>
        <v>0</v>
      </c>
      <c r="W45" s="291">
        <f t="shared" si="10"/>
        <v>0</v>
      </c>
      <c r="X45" s="245"/>
      <c r="Y45" s="246">
        <v>12647</v>
      </c>
      <c r="Z45" s="247">
        <v>2286</v>
      </c>
      <c r="AA45" s="248"/>
      <c r="AB45" s="246">
        <v>19524</v>
      </c>
      <c r="AC45" s="246">
        <v>8500</v>
      </c>
      <c r="AD45" s="245"/>
      <c r="AE45" s="246"/>
      <c r="AF45" s="247"/>
      <c r="AG45" s="245"/>
      <c r="AH45" s="246"/>
      <c r="AI45" s="247"/>
      <c r="AJ45" s="245"/>
      <c r="AK45" s="246"/>
      <c r="AL45" s="246"/>
      <c r="AM45" s="254"/>
      <c r="AN45" s="255"/>
      <c r="AO45" s="256"/>
      <c r="AP45" s="251" t="s">
        <v>174</v>
      </c>
      <c r="AQ45" s="516" t="s">
        <v>175</v>
      </c>
      <c r="AR45" s="516" t="s">
        <v>176</v>
      </c>
      <c r="AS45" s="261"/>
      <c r="AT45" s="438"/>
    </row>
    <row r="46" spans="1:46" s="161" customFormat="1" ht="15.75" x14ac:dyDescent="0.25">
      <c r="A46" s="231"/>
      <c r="B46" s="515"/>
      <c r="C46" s="515"/>
      <c r="D46" s="234"/>
      <c r="E46" s="234"/>
      <c r="F46" s="234"/>
      <c r="G46" s="235"/>
      <c r="H46" s="234"/>
      <c r="I46" s="234"/>
      <c r="J46" s="515"/>
      <c r="K46" s="234"/>
      <c r="L46" s="530"/>
      <c r="M46" s="234"/>
      <c r="N46" s="234"/>
      <c r="O46" s="234"/>
      <c r="P46" s="234"/>
      <c r="Q46" s="278">
        <f t="shared" si="1"/>
        <v>0</v>
      </c>
      <c r="R46" s="279">
        <f t="shared" si="11"/>
        <v>0</v>
      </c>
      <c r="S46" s="289">
        <f t="shared" si="12"/>
        <v>0</v>
      </c>
      <c r="T46" s="289">
        <f t="shared" si="13"/>
        <v>0</v>
      </c>
      <c r="U46" s="289">
        <f t="shared" si="14"/>
        <v>0</v>
      </c>
      <c r="V46" s="290">
        <f t="shared" si="15"/>
        <v>0</v>
      </c>
      <c r="W46" s="291">
        <f t="shared" si="10"/>
        <v>0</v>
      </c>
      <c r="X46" s="245"/>
      <c r="Y46" s="246"/>
      <c r="Z46" s="247"/>
      <c r="AA46" s="248"/>
      <c r="AB46" s="246"/>
      <c r="AC46" s="246"/>
      <c r="AD46" s="245"/>
      <c r="AE46" s="246"/>
      <c r="AF46" s="247"/>
      <c r="AG46" s="245"/>
      <c r="AH46" s="246"/>
      <c r="AI46" s="247"/>
      <c r="AJ46" s="245"/>
      <c r="AK46" s="246"/>
      <c r="AL46" s="246"/>
      <c r="AM46" s="254"/>
      <c r="AN46" s="255"/>
      <c r="AO46" s="256"/>
      <c r="AP46" s="251"/>
      <c r="AQ46" s="516"/>
      <c r="AR46" s="516"/>
      <c r="AS46" s="436"/>
      <c r="AT46" s="373"/>
    </row>
    <row r="47" spans="1:46" s="161" customFormat="1" ht="15.75" x14ac:dyDescent="0.25">
      <c r="A47" s="231"/>
      <c r="B47" s="515"/>
      <c r="C47" s="515"/>
      <c r="D47" s="234"/>
      <c r="E47" s="234"/>
      <c r="F47" s="234"/>
      <c r="G47" s="235"/>
      <c r="H47" s="234"/>
      <c r="I47" s="234"/>
      <c r="J47" s="515"/>
      <c r="K47" s="234"/>
      <c r="L47" s="530"/>
      <c r="M47" s="234"/>
      <c r="N47" s="234"/>
      <c r="O47" s="234"/>
      <c r="P47" s="234"/>
      <c r="Q47" s="278">
        <f t="shared" si="1"/>
        <v>0</v>
      </c>
      <c r="R47" s="279">
        <f t="shared" si="11"/>
        <v>0</v>
      </c>
      <c r="S47" s="289">
        <f t="shared" si="12"/>
        <v>0</v>
      </c>
      <c r="T47" s="289">
        <f t="shared" si="13"/>
        <v>0</v>
      </c>
      <c r="U47" s="289">
        <f t="shared" si="14"/>
        <v>0</v>
      </c>
      <c r="V47" s="290">
        <f t="shared" si="15"/>
        <v>0</v>
      </c>
      <c r="W47" s="291">
        <f t="shared" si="10"/>
        <v>0</v>
      </c>
      <c r="X47" s="245"/>
      <c r="Y47" s="246"/>
      <c r="Z47" s="247"/>
      <c r="AA47" s="248"/>
      <c r="AB47" s="246"/>
      <c r="AC47" s="246"/>
      <c r="AD47" s="245"/>
      <c r="AE47" s="246"/>
      <c r="AF47" s="247"/>
      <c r="AG47" s="245"/>
      <c r="AH47" s="246"/>
      <c r="AI47" s="247"/>
      <c r="AJ47" s="245"/>
      <c r="AK47" s="246"/>
      <c r="AL47" s="246"/>
      <c r="AM47" s="254"/>
      <c r="AN47" s="255"/>
      <c r="AO47" s="256"/>
      <c r="AP47" s="251"/>
      <c r="AQ47" s="516"/>
      <c r="AR47" s="516"/>
      <c r="AS47" s="436"/>
      <c r="AT47" s="373"/>
    </row>
    <row r="48" spans="1:46" s="207" customFormat="1" ht="15.75" x14ac:dyDescent="0.25">
      <c r="A48" s="231"/>
      <c r="B48" s="515"/>
      <c r="C48" s="515"/>
      <c r="D48" s="234"/>
      <c r="E48" s="234"/>
      <c r="F48" s="234"/>
      <c r="G48" s="235"/>
      <c r="H48" s="515"/>
      <c r="I48" s="234"/>
      <c r="J48" s="515"/>
      <c r="K48" s="234"/>
      <c r="L48" s="530"/>
      <c r="M48" s="234"/>
      <c r="N48" s="234"/>
      <c r="O48" s="234"/>
      <c r="P48" s="234"/>
      <c r="Q48" s="278">
        <f t="shared" si="1"/>
        <v>0</v>
      </c>
      <c r="R48" s="279">
        <f t="shared" si="11"/>
        <v>0</v>
      </c>
      <c r="S48" s="289">
        <f t="shared" si="12"/>
        <v>0</v>
      </c>
      <c r="T48" s="289">
        <f t="shared" si="13"/>
        <v>0</v>
      </c>
      <c r="U48" s="289">
        <f t="shared" si="14"/>
        <v>0</v>
      </c>
      <c r="V48" s="290">
        <f t="shared" si="15"/>
        <v>0</v>
      </c>
      <c r="W48" s="291">
        <f t="shared" si="10"/>
        <v>0</v>
      </c>
      <c r="X48" s="245"/>
      <c r="Y48" s="246"/>
      <c r="Z48" s="247"/>
      <c r="AA48" s="248"/>
      <c r="AB48" s="246"/>
      <c r="AC48" s="246"/>
      <c r="AD48" s="245"/>
      <c r="AE48" s="246"/>
      <c r="AF48" s="247"/>
      <c r="AG48" s="245"/>
      <c r="AH48" s="246"/>
      <c r="AI48" s="247"/>
      <c r="AJ48" s="245"/>
      <c r="AK48" s="246"/>
      <c r="AL48" s="246"/>
      <c r="AM48" s="254"/>
      <c r="AN48" s="255"/>
      <c r="AO48" s="256"/>
      <c r="AP48" s="251"/>
      <c r="AQ48" s="516"/>
      <c r="AR48" s="516"/>
      <c r="AS48" s="261"/>
      <c r="AT48" s="438"/>
    </row>
    <row r="49" spans="1:46" s="161" customFormat="1" ht="15.75" x14ac:dyDescent="0.25">
      <c r="A49" s="231"/>
      <c r="B49" s="515"/>
      <c r="C49" s="515"/>
      <c r="D49" s="234"/>
      <c r="E49" s="234"/>
      <c r="F49" s="234"/>
      <c r="G49" s="235"/>
      <c r="H49" s="515"/>
      <c r="I49" s="234"/>
      <c r="J49" s="515"/>
      <c r="K49" s="234"/>
      <c r="L49" s="530"/>
      <c r="M49" s="234"/>
      <c r="N49" s="234"/>
      <c r="O49" s="234"/>
      <c r="P49" s="234"/>
      <c r="Q49" s="278">
        <f t="shared" si="1"/>
        <v>0</v>
      </c>
      <c r="R49" s="279">
        <f t="shared" si="11"/>
        <v>0</v>
      </c>
      <c r="S49" s="289">
        <f t="shared" si="12"/>
        <v>0</v>
      </c>
      <c r="T49" s="289">
        <f t="shared" si="13"/>
        <v>0</v>
      </c>
      <c r="U49" s="289">
        <f t="shared" si="14"/>
        <v>0</v>
      </c>
      <c r="V49" s="290">
        <f t="shared" si="15"/>
        <v>0</v>
      </c>
      <c r="W49" s="291">
        <f t="shared" si="10"/>
        <v>0</v>
      </c>
      <c r="X49" s="245"/>
      <c r="Y49" s="246"/>
      <c r="Z49" s="247"/>
      <c r="AA49" s="248"/>
      <c r="AB49" s="246"/>
      <c r="AC49" s="246"/>
      <c r="AD49" s="245"/>
      <c r="AE49" s="246"/>
      <c r="AF49" s="247"/>
      <c r="AG49" s="245"/>
      <c r="AH49" s="246"/>
      <c r="AI49" s="247"/>
      <c r="AJ49" s="245"/>
      <c r="AK49" s="246"/>
      <c r="AL49" s="246"/>
      <c r="AM49" s="254"/>
      <c r="AN49" s="255"/>
      <c r="AO49" s="256"/>
      <c r="AP49" s="251"/>
      <c r="AQ49" s="516"/>
      <c r="AR49" s="516"/>
      <c r="AS49" s="436"/>
      <c r="AT49" s="373"/>
    </row>
    <row r="50" spans="1:46" s="207" customFormat="1" ht="15.75" x14ac:dyDescent="0.25">
      <c r="A50" s="231"/>
      <c r="B50" s="515"/>
      <c r="C50" s="515"/>
      <c r="D50" s="234"/>
      <c r="E50" s="234"/>
      <c r="F50" s="234"/>
      <c r="G50" s="235"/>
      <c r="H50" s="515"/>
      <c r="I50" s="234"/>
      <c r="J50" s="520"/>
      <c r="K50" s="234"/>
      <c r="L50" s="530"/>
      <c r="M50" s="234"/>
      <c r="N50" s="234"/>
      <c r="O50" s="234"/>
      <c r="P50" s="234"/>
      <c r="Q50" s="278">
        <f t="shared" si="1"/>
        <v>0</v>
      </c>
      <c r="R50" s="279">
        <f t="shared" si="11"/>
        <v>0</v>
      </c>
      <c r="S50" s="289">
        <f t="shared" si="12"/>
        <v>0</v>
      </c>
      <c r="T50" s="289">
        <f t="shared" si="13"/>
        <v>0</v>
      </c>
      <c r="U50" s="289">
        <f t="shared" si="14"/>
        <v>0</v>
      </c>
      <c r="V50" s="290">
        <f t="shared" si="15"/>
        <v>0</v>
      </c>
      <c r="W50" s="291">
        <f t="shared" si="10"/>
        <v>0</v>
      </c>
      <c r="X50" s="245"/>
      <c r="Y50" s="246"/>
      <c r="Z50" s="247"/>
      <c r="AA50" s="248"/>
      <c r="AB50" s="246"/>
      <c r="AC50" s="246"/>
      <c r="AD50" s="245"/>
      <c r="AE50" s="246"/>
      <c r="AF50" s="247"/>
      <c r="AG50" s="245"/>
      <c r="AH50" s="246"/>
      <c r="AI50" s="247"/>
      <c r="AJ50" s="245"/>
      <c r="AK50" s="246"/>
      <c r="AL50" s="246"/>
      <c r="AM50" s="254"/>
      <c r="AN50" s="255"/>
      <c r="AO50" s="256"/>
      <c r="AP50" s="251"/>
      <c r="AQ50" s="516"/>
      <c r="AR50" s="516"/>
      <c r="AS50" s="261"/>
      <c r="AT50" s="438"/>
    </row>
    <row r="51" spans="1:46" s="207" customFormat="1" ht="15.75" x14ac:dyDescent="0.25">
      <c r="A51" s="231"/>
      <c r="B51" s="515"/>
      <c r="C51" s="515"/>
      <c r="D51" s="234"/>
      <c r="E51" s="234"/>
      <c r="F51" s="234"/>
      <c r="G51" s="235"/>
      <c r="H51" s="515"/>
      <c r="I51" s="234"/>
      <c r="J51" s="515"/>
      <c r="K51" s="234"/>
      <c r="L51" s="530"/>
      <c r="M51" s="234"/>
      <c r="N51" s="234"/>
      <c r="O51" s="234"/>
      <c r="P51" s="234"/>
      <c r="Q51" s="278">
        <f t="shared" si="1"/>
        <v>0</v>
      </c>
      <c r="R51" s="279">
        <f t="shared" si="11"/>
        <v>0</v>
      </c>
      <c r="S51" s="289">
        <f t="shared" si="12"/>
        <v>0</v>
      </c>
      <c r="T51" s="289">
        <f t="shared" si="13"/>
        <v>0</v>
      </c>
      <c r="U51" s="289">
        <f t="shared" si="14"/>
        <v>0</v>
      </c>
      <c r="V51" s="290">
        <f t="shared" si="15"/>
        <v>0</v>
      </c>
      <c r="W51" s="291">
        <f t="shared" si="10"/>
        <v>0</v>
      </c>
      <c r="X51" s="245"/>
      <c r="Y51" s="246"/>
      <c r="Z51" s="247"/>
      <c r="AA51" s="248"/>
      <c r="AB51" s="246"/>
      <c r="AC51" s="246"/>
      <c r="AD51" s="245"/>
      <c r="AE51" s="246"/>
      <c r="AF51" s="247"/>
      <c r="AG51" s="245"/>
      <c r="AH51" s="246"/>
      <c r="AI51" s="247"/>
      <c r="AJ51" s="245"/>
      <c r="AK51" s="246"/>
      <c r="AL51" s="246"/>
      <c r="AM51" s="254"/>
      <c r="AN51" s="255"/>
      <c r="AO51" s="256"/>
      <c r="AP51" s="251"/>
      <c r="AQ51" s="516"/>
      <c r="AR51" s="516"/>
      <c r="AS51" s="261"/>
      <c r="AT51" s="438"/>
    </row>
    <row r="52" spans="1:46" s="207" customFormat="1" ht="15.75" x14ac:dyDescent="0.25">
      <c r="A52" s="231"/>
      <c r="B52" s="515"/>
      <c r="C52" s="515"/>
      <c r="D52" s="234"/>
      <c r="E52" s="234"/>
      <c r="F52" s="234"/>
      <c r="G52" s="235"/>
      <c r="H52" s="515"/>
      <c r="I52" s="234"/>
      <c r="J52" s="515"/>
      <c r="K52" s="234"/>
      <c r="L52" s="530"/>
      <c r="M52" s="234"/>
      <c r="N52" s="234"/>
      <c r="O52" s="234"/>
      <c r="P52" s="234"/>
      <c r="Q52" s="278">
        <f t="shared" si="1"/>
        <v>0</v>
      </c>
      <c r="R52" s="279">
        <f t="shared" si="11"/>
        <v>0</v>
      </c>
      <c r="S52" s="289">
        <f t="shared" si="12"/>
        <v>0</v>
      </c>
      <c r="T52" s="289">
        <f t="shared" si="13"/>
        <v>0</v>
      </c>
      <c r="U52" s="289">
        <f t="shared" si="14"/>
        <v>0</v>
      </c>
      <c r="V52" s="290">
        <f t="shared" si="15"/>
        <v>0</v>
      </c>
      <c r="W52" s="291">
        <f t="shared" si="10"/>
        <v>0</v>
      </c>
      <c r="X52" s="245"/>
      <c r="Y52" s="246"/>
      <c r="Z52" s="247"/>
      <c r="AA52" s="248"/>
      <c r="AB52" s="246"/>
      <c r="AC52" s="246"/>
      <c r="AD52" s="245"/>
      <c r="AE52" s="246"/>
      <c r="AF52" s="247"/>
      <c r="AG52" s="245"/>
      <c r="AH52" s="246"/>
      <c r="AI52" s="247"/>
      <c r="AJ52" s="245"/>
      <c r="AK52" s="246"/>
      <c r="AL52" s="246"/>
      <c r="AM52" s="254"/>
      <c r="AN52" s="255"/>
      <c r="AO52" s="256"/>
      <c r="AP52" s="251"/>
      <c r="AQ52" s="516"/>
      <c r="AR52" s="516"/>
      <c r="AS52" s="261"/>
      <c r="AT52" s="438"/>
    </row>
    <row r="53" spans="1:46" s="161" customFormat="1" ht="15.75" x14ac:dyDescent="0.25">
      <c r="A53" s="231"/>
      <c r="B53" s="515"/>
      <c r="C53" s="515"/>
      <c r="D53" s="234"/>
      <c r="E53" s="234"/>
      <c r="F53" s="234"/>
      <c r="G53" s="235"/>
      <c r="H53" s="515"/>
      <c r="I53" s="234"/>
      <c r="J53" s="515"/>
      <c r="K53" s="234"/>
      <c r="L53" s="530"/>
      <c r="M53" s="234"/>
      <c r="N53" s="234"/>
      <c r="O53" s="234"/>
      <c r="P53" s="234"/>
      <c r="Q53" s="278">
        <f t="shared" si="1"/>
        <v>0</v>
      </c>
      <c r="R53" s="279">
        <f t="shared" si="11"/>
        <v>0</v>
      </c>
      <c r="S53" s="289">
        <f t="shared" si="12"/>
        <v>0</v>
      </c>
      <c r="T53" s="289">
        <f t="shared" si="13"/>
        <v>0</v>
      </c>
      <c r="U53" s="289">
        <f t="shared" si="14"/>
        <v>0</v>
      </c>
      <c r="V53" s="290">
        <f t="shared" si="15"/>
        <v>0</v>
      </c>
      <c r="W53" s="291">
        <f t="shared" si="10"/>
        <v>0</v>
      </c>
      <c r="X53" s="245"/>
      <c r="Y53" s="246"/>
      <c r="Z53" s="247"/>
      <c r="AA53" s="248"/>
      <c r="AB53" s="246"/>
      <c r="AC53" s="246"/>
      <c r="AD53" s="245"/>
      <c r="AE53" s="246"/>
      <c r="AF53" s="247"/>
      <c r="AG53" s="245"/>
      <c r="AH53" s="246"/>
      <c r="AI53" s="247"/>
      <c r="AJ53" s="245"/>
      <c r="AK53" s="246"/>
      <c r="AL53" s="246"/>
      <c r="AM53" s="254"/>
      <c r="AN53" s="255"/>
      <c r="AO53" s="256"/>
      <c r="AP53" s="251"/>
      <c r="AQ53" s="516"/>
      <c r="AR53" s="516"/>
      <c r="AS53" s="436"/>
      <c r="AT53" s="373"/>
    </row>
    <row r="54" spans="1:46" s="207" customFormat="1" ht="15.75" x14ac:dyDescent="0.25">
      <c r="A54" s="231"/>
      <c r="B54" s="515"/>
      <c r="C54" s="515"/>
      <c r="D54" s="234"/>
      <c r="E54" s="234"/>
      <c r="F54" s="234"/>
      <c r="G54" s="235"/>
      <c r="H54" s="515"/>
      <c r="I54" s="234"/>
      <c r="J54" s="515"/>
      <c r="K54" s="234"/>
      <c r="L54" s="530"/>
      <c r="M54" s="234"/>
      <c r="N54" s="234"/>
      <c r="O54" s="234"/>
      <c r="P54" s="234"/>
      <c r="Q54" s="278">
        <f t="shared" si="1"/>
        <v>0</v>
      </c>
      <c r="R54" s="279">
        <f t="shared" si="11"/>
        <v>0</v>
      </c>
      <c r="S54" s="289">
        <f t="shared" si="12"/>
        <v>0</v>
      </c>
      <c r="T54" s="289">
        <f t="shared" si="13"/>
        <v>0</v>
      </c>
      <c r="U54" s="289">
        <f t="shared" si="14"/>
        <v>0</v>
      </c>
      <c r="V54" s="290">
        <f t="shared" si="15"/>
        <v>0</v>
      </c>
      <c r="W54" s="291">
        <f t="shared" si="10"/>
        <v>0</v>
      </c>
      <c r="X54" s="245"/>
      <c r="Y54" s="246"/>
      <c r="Z54" s="247"/>
      <c r="AA54" s="248"/>
      <c r="AB54" s="246"/>
      <c r="AC54" s="246"/>
      <c r="AD54" s="245"/>
      <c r="AE54" s="246"/>
      <c r="AF54" s="247"/>
      <c r="AG54" s="245"/>
      <c r="AH54" s="246"/>
      <c r="AI54" s="247"/>
      <c r="AJ54" s="245"/>
      <c r="AK54" s="246"/>
      <c r="AL54" s="246"/>
      <c r="AM54" s="254"/>
      <c r="AN54" s="255"/>
      <c r="AO54" s="256"/>
      <c r="AP54" s="251"/>
      <c r="AQ54" s="516"/>
      <c r="AR54" s="516"/>
      <c r="AS54" s="261"/>
      <c r="AT54" s="438"/>
    </row>
    <row r="55" spans="1:46" s="207" customFormat="1" ht="15.75" x14ac:dyDescent="0.25">
      <c r="A55" s="231"/>
      <c r="B55" s="515"/>
      <c r="C55" s="515"/>
      <c r="D55" s="234"/>
      <c r="E55" s="234"/>
      <c r="F55" s="234"/>
      <c r="G55" s="235"/>
      <c r="H55" s="515"/>
      <c r="I55" s="234"/>
      <c r="J55" s="515"/>
      <c r="K55" s="234"/>
      <c r="L55" s="530"/>
      <c r="M55" s="234"/>
      <c r="N55" s="234"/>
      <c r="O55" s="234"/>
      <c r="P55" s="234"/>
      <c r="Q55" s="278">
        <f t="shared" si="1"/>
        <v>0</v>
      </c>
      <c r="R55" s="279">
        <f t="shared" si="11"/>
        <v>0</v>
      </c>
      <c r="S55" s="289">
        <f t="shared" si="12"/>
        <v>0</v>
      </c>
      <c r="T55" s="289">
        <f t="shared" si="13"/>
        <v>0</v>
      </c>
      <c r="U55" s="289">
        <f t="shared" si="14"/>
        <v>0</v>
      </c>
      <c r="V55" s="290">
        <f t="shared" si="15"/>
        <v>0</v>
      </c>
      <c r="W55" s="291">
        <f t="shared" si="10"/>
        <v>0</v>
      </c>
      <c r="X55" s="245"/>
      <c r="Y55" s="246"/>
      <c r="Z55" s="247"/>
      <c r="AA55" s="248"/>
      <c r="AB55" s="246"/>
      <c r="AC55" s="246"/>
      <c r="AD55" s="245"/>
      <c r="AE55" s="246"/>
      <c r="AF55" s="247"/>
      <c r="AG55" s="245"/>
      <c r="AH55" s="246"/>
      <c r="AI55" s="247"/>
      <c r="AJ55" s="245"/>
      <c r="AK55" s="246"/>
      <c r="AL55" s="246"/>
      <c r="AM55" s="254"/>
      <c r="AN55" s="255"/>
      <c r="AO55" s="256"/>
      <c r="AP55" s="251"/>
      <c r="AQ55" s="516"/>
      <c r="AR55" s="516"/>
      <c r="AS55" s="261"/>
      <c r="AT55" s="438"/>
    </row>
    <row r="56" spans="1:46" s="161" customFormat="1" ht="15.75" x14ac:dyDescent="0.25">
      <c r="A56" s="231"/>
      <c r="B56" s="515"/>
      <c r="C56" s="515"/>
      <c r="D56" s="234"/>
      <c r="E56" s="234"/>
      <c r="F56" s="234"/>
      <c r="G56" s="235"/>
      <c r="H56" s="234"/>
      <c r="I56" s="234"/>
      <c r="J56" s="515"/>
      <c r="K56" s="234"/>
      <c r="L56" s="530"/>
      <c r="M56" s="234"/>
      <c r="N56" s="234"/>
      <c r="O56" s="234"/>
      <c r="P56" s="234"/>
      <c r="Q56" s="278">
        <f t="shared" si="1"/>
        <v>0</v>
      </c>
      <c r="R56" s="279">
        <f t="shared" si="11"/>
        <v>0</v>
      </c>
      <c r="S56" s="289">
        <f t="shared" si="12"/>
        <v>0</v>
      </c>
      <c r="T56" s="289">
        <f t="shared" si="13"/>
        <v>0</v>
      </c>
      <c r="U56" s="289">
        <f t="shared" si="14"/>
        <v>0</v>
      </c>
      <c r="V56" s="290">
        <f t="shared" si="15"/>
        <v>0</v>
      </c>
      <c r="W56" s="291">
        <f t="shared" si="10"/>
        <v>0</v>
      </c>
      <c r="X56" s="245"/>
      <c r="Y56" s="246"/>
      <c r="Z56" s="247"/>
      <c r="AA56" s="248"/>
      <c r="AB56" s="246"/>
      <c r="AC56" s="246"/>
      <c r="AD56" s="245"/>
      <c r="AE56" s="246"/>
      <c r="AF56" s="247"/>
      <c r="AG56" s="245"/>
      <c r="AH56" s="246"/>
      <c r="AI56" s="247"/>
      <c r="AJ56" s="245"/>
      <c r="AK56" s="246"/>
      <c r="AL56" s="246"/>
      <c r="AM56" s="254"/>
      <c r="AN56" s="255"/>
      <c r="AO56" s="256"/>
      <c r="AP56" s="251"/>
      <c r="AQ56" s="516"/>
      <c r="AR56" s="516"/>
      <c r="AS56" s="436"/>
      <c r="AT56" s="373"/>
    </row>
    <row r="57" spans="1:46" s="207" customFormat="1" ht="15.75" x14ac:dyDescent="0.25">
      <c r="A57" s="231"/>
      <c r="B57" s="515"/>
      <c r="C57" s="515"/>
      <c r="D57" s="234"/>
      <c r="E57" s="234"/>
      <c r="F57" s="234"/>
      <c r="G57" s="235"/>
      <c r="H57" s="234"/>
      <c r="I57" s="234"/>
      <c r="J57" s="520"/>
      <c r="K57" s="234"/>
      <c r="L57" s="530"/>
      <c r="M57" s="234"/>
      <c r="N57" s="234"/>
      <c r="O57" s="234"/>
      <c r="P57" s="234"/>
      <c r="Q57" s="278">
        <f t="shared" si="1"/>
        <v>0</v>
      </c>
      <c r="R57" s="279">
        <f t="shared" si="11"/>
        <v>0</v>
      </c>
      <c r="S57" s="289">
        <f t="shared" si="12"/>
        <v>0</v>
      </c>
      <c r="T57" s="289">
        <f t="shared" si="13"/>
        <v>0</v>
      </c>
      <c r="U57" s="289">
        <f t="shared" si="14"/>
        <v>0</v>
      </c>
      <c r="V57" s="290">
        <f t="shared" si="15"/>
        <v>0</v>
      </c>
      <c r="W57" s="291">
        <f t="shared" si="10"/>
        <v>0</v>
      </c>
      <c r="X57" s="245"/>
      <c r="Y57" s="246"/>
      <c r="Z57" s="247"/>
      <c r="AA57" s="248"/>
      <c r="AB57" s="246"/>
      <c r="AC57" s="246"/>
      <c r="AD57" s="245"/>
      <c r="AE57" s="246"/>
      <c r="AF57" s="247"/>
      <c r="AG57" s="245"/>
      <c r="AH57" s="246"/>
      <c r="AI57" s="247"/>
      <c r="AJ57" s="245"/>
      <c r="AK57" s="246"/>
      <c r="AL57" s="246"/>
      <c r="AM57" s="254"/>
      <c r="AN57" s="255"/>
      <c r="AO57" s="256"/>
      <c r="AP57" s="251"/>
      <c r="AQ57" s="516"/>
      <c r="AR57" s="516"/>
      <c r="AS57" s="261"/>
      <c r="AT57" s="438"/>
    </row>
    <row r="58" spans="1:46" s="161" customFormat="1" ht="15.75" x14ac:dyDescent="0.25">
      <c r="A58" s="231"/>
      <c r="B58" s="515"/>
      <c r="C58" s="515"/>
      <c r="D58" s="234"/>
      <c r="E58" s="234"/>
      <c r="F58" s="234"/>
      <c r="G58" s="235"/>
      <c r="H58" s="234"/>
      <c r="I58" s="234"/>
      <c r="J58" s="515"/>
      <c r="K58" s="234"/>
      <c r="L58" s="530"/>
      <c r="M58" s="234"/>
      <c r="N58" s="234"/>
      <c r="O58" s="234"/>
      <c r="P58" s="234"/>
      <c r="Q58" s="278">
        <f t="shared" si="1"/>
        <v>0</v>
      </c>
      <c r="R58" s="279">
        <f t="shared" si="11"/>
        <v>0</v>
      </c>
      <c r="S58" s="289">
        <f t="shared" si="12"/>
        <v>0</v>
      </c>
      <c r="T58" s="289">
        <f t="shared" si="13"/>
        <v>0</v>
      </c>
      <c r="U58" s="289">
        <f t="shared" si="14"/>
        <v>0</v>
      </c>
      <c r="V58" s="290">
        <f t="shared" si="15"/>
        <v>0</v>
      </c>
      <c r="W58" s="291">
        <f t="shared" si="10"/>
        <v>0</v>
      </c>
      <c r="X58" s="245"/>
      <c r="Y58" s="246"/>
      <c r="Z58" s="247"/>
      <c r="AA58" s="248"/>
      <c r="AB58" s="246"/>
      <c r="AC58" s="246"/>
      <c r="AD58" s="245"/>
      <c r="AE58" s="246"/>
      <c r="AF58" s="247"/>
      <c r="AG58" s="245"/>
      <c r="AH58" s="246"/>
      <c r="AI58" s="247"/>
      <c r="AJ58" s="245"/>
      <c r="AK58" s="246"/>
      <c r="AL58" s="246"/>
      <c r="AM58" s="254"/>
      <c r="AN58" s="255"/>
      <c r="AO58" s="256"/>
      <c r="AP58" s="251"/>
      <c r="AQ58" s="516"/>
      <c r="AR58" s="516"/>
      <c r="AS58" s="436"/>
      <c r="AT58" s="373"/>
    </row>
    <row r="59" spans="1:46" s="207" customFormat="1" ht="15.75" x14ac:dyDescent="0.25">
      <c r="A59" s="231"/>
      <c r="B59" s="515"/>
      <c r="C59" s="515"/>
      <c r="D59" s="234"/>
      <c r="E59" s="234"/>
      <c r="F59" s="234"/>
      <c r="G59" s="235"/>
      <c r="H59" s="234"/>
      <c r="I59" s="234"/>
      <c r="J59" s="520"/>
      <c r="K59" s="234"/>
      <c r="L59" s="530"/>
      <c r="M59" s="234"/>
      <c r="N59" s="234"/>
      <c r="O59" s="234"/>
      <c r="P59" s="234"/>
      <c r="Q59" s="278">
        <f t="shared" si="1"/>
        <v>0</v>
      </c>
      <c r="R59" s="279">
        <f t="shared" si="11"/>
        <v>0</v>
      </c>
      <c r="S59" s="289">
        <f t="shared" si="12"/>
        <v>0</v>
      </c>
      <c r="T59" s="289">
        <f t="shared" si="13"/>
        <v>0</v>
      </c>
      <c r="U59" s="289">
        <f t="shared" si="14"/>
        <v>0</v>
      </c>
      <c r="V59" s="290">
        <f t="shared" si="15"/>
        <v>0</v>
      </c>
      <c r="W59" s="291">
        <f t="shared" si="10"/>
        <v>0</v>
      </c>
      <c r="X59" s="245"/>
      <c r="Y59" s="246"/>
      <c r="Z59" s="247"/>
      <c r="AA59" s="248"/>
      <c r="AB59" s="246"/>
      <c r="AC59" s="246"/>
      <c r="AD59" s="245"/>
      <c r="AE59" s="246"/>
      <c r="AF59" s="247"/>
      <c r="AG59" s="245"/>
      <c r="AH59" s="246"/>
      <c r="AI59" s="247"/>
      <c r="AJ59" s="245"/>
      <c r="AK59" s="246"/>
      <c r="AL59" s="246"/>
      <c r="AM59" s="254"/>
      <c r="AN59" s="255"/>
      <c r="AO59" s="256"/>
      <c r="AP59" s="251"/>
      <c r="AQ59" s="516"/>
      <c r="AR59" s="516"/>
      <c r="AS59" s="261"/>
      <c r="AT59" s="438"/>
    </row>
    <row r="60" spans="1:46" s="207" customFormat="1" ht="15.75" x14ac:dyDescent="0.25">
      <c r="A60" s="231"/>
      <c r="B60" s="515"/>
      <c r="C60" s="515"/>
      <c r="D60" s="234"/>
      <c r="E60" s="234"/>
      <c r="F60" s="234"/>
      <c r="G60" s="521"/>
      <c r="H60" s="234"/>
      <c r="I60" s="234"/>
      <c r="J60" s="515"/>
      <c r="K60" s="234"/>
      <c r="L60" s="530"/>
      <c r="M60" s="234"/>
      <c r="N60" s="234"/>
      <c r="O60" s="234"/>
      <c r="P60" s="234"/>
      <c r="Q60" s="278">
        <f t="shared" si="1"/>
        <v>0</v>
      </c>
      <c r="R60" s="279">
        <f t="shared" si="11"/>
        <v>0</v>
      </c>
      <c r="S60" s="289">
        <f t="shared" si="12"/>
        <v>0</v>
      </c>
      <c r="T60" s="289">
        <f t="shared" si="13"/>
        <v>0</v>
      </c>
      <c r="U60" s="289">
        <f t="shared" si="14"/>
        <v>0</v>
      </c>
      <c r="V60" s="290">
        <f t="shared" si="15"/>
        <v>0</v>
      </c>
      <c r="W60" s="291">
        <f t="shared" si="10"/>
        <v>0</v>
      </c>
      <c r="X60" s="245"/>
      <c r="Y60" s="246"/>
      <c r="Z60" s="247"/>
      <c r="AA60" s="248"/>
      <c r="AB60" s="246"/>
      <c r="AC60" s="246"/>
      <c r="AD60" s="245"/>
      <c r="AE60" s="246"/>
      <c r="AF60" s="247"/>
      <c r="AG60" s="245"/>
      <c r="AH60" s="246"/>
      <c r="AI60" s="247"/>
      <c r="AJ60" s="245"/>
      <c r="AK60" s="246"/>
      <c r="AL60" s="246"/>
      <c r="AM60" s="254"/>
      <c r="AN60" s="255"/>
      <c r="AO60" s="256"/>
      <c r="AP60" s="251"/>
      <c r="AQ60" s="516"/>
      <c r="AR60" s="516"/>
      <c r="AS60" s="261"/>
      <c r="AT60" s="438"/>
    </row>
    <row r="61" spans="1:46" s="207" customFormat="1" ht="15.75" x14ac:dyDescent="0.25">
      <c r="A61" s="231"/>
      <c r="B61" s="515"/>
      <c r="C61" s="515"/>
      <c r="D61" s="234"/>
      <c r="E61" s="234"/>
      <c r="F61" s="234"/>
      <c r="G61" s="235"/>
      <c r="H61" s="234"/>
      <c r="I61" s="234"/>
      <c r="J61" s="520"/>
      <c r="K61" s="234"/>
      <c r="L61" s="530"/>
      <c r="M61" s="234"/>
      <c r="N61" s="234"/>
      <c r="O61" s="234"/>
      <c r="P61" s="234"/>
      <c r="Q61" s="278">
        <f t="shared" si="1"/>
        <v>0</v>
      </c>
      <c r="R61" s="279">
        <f t="shared" si="11"/>
        <v>0</v>
      </c>
      <c r="S61" s="289">
        <f t="shared" si="12"/>
        <v>0</v>
      </c>
      <c r="T61" s="289">
        <f t="shared" si="13"/>
        <v>0</v>
      </c>
      <c r="U61" s="289">
        <f t="shared" si="14"/>
        <v>0</v>
      </c>
      <c r="V61" s="290">
        <f t="shared" si="15"/>
        <v>0</v>
      </c>
      <c r="W61" s="291">
        <f t="shared" si="10"/>
        <v>0</v>
      </c>
      <c r="X61" s="245"/>
      <c r="Y61" s="246"/>
      <c r="Z61" s="247"/>
      <c r="AA61" s="248"/>
      <c r="AB61" s="246"/>
      <c r="AC61" s="246"/>
      <c r="AD61" s="245"/>
      <c r="AE61" s="246"/>
      <c r="AF61" s="247"/>
      <c r="AG61" s="245"/>
      <c r="AH61" s="246"/>
      <c r="AI61" s="247"/>
      <c r="AJ61" s="245"/>
      <c r="AK61" s="246"/>
      <c r="AL61" s="246"/>
      <c r="AM61" s="254"/>
      <c r="AN61" s="255"/>
      <c r="AO61" s="256"/>
      <c r="AP61" s="251"/>
      <c r="AQ61" s="516"/>
      <c r="AR61" s="516"/>
      <c r="AS61" s="261"/>
      <c r="AT61" s="438"/>
    </row>
    <row r="62" spans="1:46" s="207" customFormat="1" ht="15.75" x14ac:dyDescent="0.25">
      <c r="A62" s="231"/>
      <c r="B62" s="515"/>
      <c r="C62" s="515"/>
      <c r="D62" s="234"/>
      <c r="E62" s="234"/>
      <c r="F62" s="234"/>
      <c r="G62" s="521"/>
      <c r="H62" s="234"/>
      <c r="I62" s="234"/>
      <c r="J62" s="515"/>
      <c r="K62" s="234"/>
      <c r="L62" s="530"/>
      <c r="M62" s="234"/>
      <c r="N62" s="234"/>
      <c r="O62" s="234"/>
      <c r="P62" s="234"/>
      <c r="Q62" s="278">
        <f t="shared" si="1"/>
        <v>0</v>
      </c>
      <c r="R62" s="279">
        <f t="shared" si="11"/>
        <v>0</v>
      </c>
      <c r="S62" s="289">
        <f t="shared" si="12"/>
        <v>0</v>
      </c>
      <c r="T62" s="289">
        <f t="shared" si="13"/>
        <v>0</v>
      </c>
      <c r="U62" s="289">
        <f t="shared" si="14"/>
        <v>0</v>
      </c>
      <c r="V62" s="290">
        <f t="shared" si="15"/>
        <v>0</v>
      </c>
      <c r="W62" s="291">
        <f t="shared" si="10"/>
        <v>0</v>
      </c>
      <c r="X62" s="245"/>
      <c r="Y62" s="246"/>
      <c r="Z62" s="247"/>
      <c r="AA62" s="248"/>
      <c r="AB62" s="246"/>
      <c r="AC62" s="246"/>
      <c r="AD62" s="245"/>
      <c r="AE62" s="246"/>
      <c r="AF62" s="247"/>
      <c r="AG62" s="245"/>
      <c r="AH62" s="246"/>
      <c r="AI62" s="247"/>
      <c r="AJ62" s="245"/>
      <c r="AK62" s="246"/>
      <c r="AL62" s="246"/>
      <c r="AM62" s="254"/>
      <c r="AN62" s="255"/>
      <c r="AO62" s="256"/>
      <c r="AP62" s="251"/>
      <c r="AQ62" s="516"/>
      <c r="AR62" s="516"/>
      <c r="AS62" s="261"/>
      <c r="AT62" s="438"/>
    </row>
    <row r="63" spans="1:46" s="207" customFormat="1" ht="15.75" x14ac:dyDescent="0.25">
      <c r="A63" s="231"/>
      <c r="B63" s="515"/>
      <c r="C63" s="515"/>
      <c r="D63" s="234"/>
      <c r="E63" s="234"/>
      <c r="F63" s="234"/>
      <c r="G63" s="521"/>
      <c r="H63" s="234"/>
      <c r="I63" s="234"/>
      <c r="J63" s="515"/>
      <c r="K63" s="234"/>
      <c r="L63" s="530"/>
      <c r="M63" s="234"/>
      <c r="N63" s="234"/>
      <c r="O63" s="234"/>
      <c r="P63" s="234"/>
      <c r="Q63" s="278">
        <f t="shared" si="1"/>
        <v>0</v>
      </c>
      <c r="R63" s="279">
        <f t="shared" si="11"/>
        <v>0</v>
      </c>
      <c r="S63" s="289">
        <f t="shared" si="12"/>
        <v>0</v>
      </c>
      <c r="T63" s="289">
        <f t="shared" si="13"/>
        <v>0</v>
      </c>
      <c r="U63" s="289">
        <f t="shared" si="14"/>
        <v>0</v>
      </c>
      <c r="V63" s="290">
        <f t="shared" si="15"/>
        <v>0</v>
      </c>
      <c r="W63" s="291">
        <f t="shared" si="10"/>
        <v>0</v>
      </c>
      <c r="X63" s="245"/>
      <c r="Y63" s="246"/>
      <c r="Z63" s="247"/>
      <c r="AA63" s="248"/>
      <c r="AB63" s="246"/>
      <c r="AC63" s="246"/>
      <c r="AD63" s="245"/>
      <c r="AE63" s="246"/>
      <c r="AF63" s="247"/>
      <c r="AG63" s="245"/>
      <c r="AH63" s="246"/>
      <c r="AI63" s="247"/>
      <c r="AJ63" s="245"/>
      <c r="AK63" s="246"/>
      <c r="AL63" s="246"/>
      <c r="AM63" s="254"/>
      <c r="AN63" s="255"/>
      <c r="AO63" s="256"/>
      <c r="AP63" s="251"/>
      <c r="AQ63" s="516"/>
      <c r="AR63" s="516"/>
      <c r="AS63" s="261"/>
      <c r="AT63" s="438"/>
    </row>
    <row r="64" spans="1:46" s="161" customFormat="1" ht="15.75" x14ac:dyDescent="0.25">
      <c r="A64" s="231"/>
      <c r="B64" s="515"/>
      <c r="C64" s="515"/>
      <c r="D64" s="234"/>
      <c r="E64" s="234"/>
      <c r="F64" s="234"/>
      <c r="G64" s="521"/>
      <c r="H64" s="234"/>
      <c r="I64" s="234"/>
      <c r="J64" s="234"/>
      <c r="K64" s="234"/>
      <c r="L64" s="530"/>
      <c r="M64" s="234"/>
      <c r="N64" s="234"/>
      <c r="O64" s="234"/>
      <c r="P64" s="234"/>
      <c r="Q64" s="278">
        <f t="shared" si="1"/>
        <v>0</v>
      </c>
      <c r="R64" s="279">
        <f t="shared" si="11"/>
        <v>0</v>
      </c>
      <c r="S64" s="289">
        <f t="shared" si="12"/>
        <v>0</v>
      </c>
      <c r="T64" s="289">
        <f t="shared" si="13"/>
        <v>0</v>
      </c>
      <c r="U64" s="289">
        <f t="shared" si="14"/>
        <v>0</v>
      </c>
      <c r="V64" s="290">
        <f t="shared" si="15"/>
        <v>0</v>
      </c>
      <c r="W64" s="291">
        <f t="shared" si="10"/>
        <v>0</v>
      </c>
      <c r="X64" s="245"/>
      <c r="Y64" s="246"/>
      <c r="Z64" s="247"/>
      <c r="AA64" s="248"/>
      <c r="AB64" s="246"/>
      <c r="AC64" s="246"/>
      <c r="AD64" s="245"/>
      <c r="AE64" s="246"/>
      <c r="AF64" s="247"/>
      <c r="AG64" s="245"/>
      <c r="AH64" s="246"/>
      <c r="AI64" s="247"/>
      <c r="AJ64" s="245"/>
      <c r="AK64" s="246"/>
      <c r="AL64" s="246"/>
      <c r="AM64" s="254"/>
      <c r="AN64" s="255"/>
      <c r="AO64" s="256"/>
      <c r="AP64" s="251"/>
      <c r="AQ64" s="516"/>
      <c r="AR64" s="516"/>
      <c r="AS64" s="436"/>
      <c r="AT64" s="373"/>
    </row>
    <row r="65" spans="1:46" s="161" customFormat="1" ht="15.75" x14ac:dyDescent="0.25">
      <c r="A65" s="231"/>
      <c r="B65" s="515"/>
      <c r="C65" s="515"/>
      <c r="D65" s="234"/>
      <c r="E65" s="234"/>
      <c r="F65" s="234"/>
      <c r="G65" s="521"/>
      <c r="H65" s="234"/>
      <c r="I65" s="234"/>
      <c r="J65" s="234"/>
      <c r="K65" s="234"/>
      <c r="L65" s="530"/>
      <c r="M65" s="234"/>
      <c r="N65" s="234"/>
      <c r="O65" s="234"/>
      <c r="P65" s="234"/>
      <c r="Q65" s="278">
        <f t="shared" si="1"/>
        <v>0</v>
      </c>
      <c r="R65" s="279">
        <f t="shared" si="11"/>
        <v>0</v>
      </c>
      <c r="S65" s="289">
        <f t="shared" si="12"/>
        <v>0</v>
      </c>
      <c r="T65" s="289">
        <f t="shared" si="13"/>
        <v>0</v>
      </c>
      <c r="U65" s="289">
        <f t="shared" si="14"/>
        <v>0</v>
      </c>
      <c r="V65" s="290">
        <f t="shared" si="15"/>
        <v>0</v>
      </c>
      <c r="W65" s="291">
        <f t="shared" si="10"/>
        <v>0</v>
      </c>
      <c r="X65" s="245"/>
      <c r="Y65" s="246"/>
      <c r="Z65" s="247"/>
      <c r="AA65" s="248"/>
      <c r="AB65" s="246"/>
      <c r="AC65" s="246"/>
      <c r="AD65" s="245"/>
      <c r="AE65" s="246"/>
      <c r="AF65" s="247"/>
      <c r="AG65" s="245"/>
      <c r="AH65" s="246"/>
      <c r="AI65" s="247"/>
      <c r="AJ65" s="245"/>
      <c r="AK65" s="246"/>
      <c r="AL65" s="246"/>
      <c r="AM65" s="254"/>
      <c r="AN65" s="255"/>
      <c r="AO65" s="256"/>
      <c r="AP65" s="251"/>
      <c r="AQ65" s="516"/>
      <c r="AR65" s="516"/>
      <c r="AS65" s="436"/>
      <c r="AT65" s="373"/>
    </row>
    <row r="66" spans="1:46" s="161" customFormat="1" ht="15.75" x14ac:dyDescent="0.25">
      <c r="A66" s="231"/>
      <c r="B66" s="515"/>
      <c r="C66" s="515"/>
      <c r="D66" s="234"/>
      <c r="E66" s="234"/>
      <c r="F66" s="234"/>
      <c r="G66" s="235"/>
      <c r="H66" s="234"/>
      <c r="I66" s="234"/>
      <c r="J66" s="515"/>
      <c r="K66" s="234"/>
      <c r="L66" s="530"/>
      <c r="M66" s="234"/>
      <c r="N66" s="234"/>
      <c r="O66" s="234"/>
      <c r="P66" s="234"/>
      <c r="Q66" s="278">
        <f t="shared" si="1"/>
        <v>0</v>
      </c>
      <c r="R66" s="279">
        <f t="shared" si="11"/>
        <v>0</v>
      </c>
      <c r="S66" s="289">
        <f t="shared" si="12"/>
        <v>0</v>
      </c>
      <c r="T66" s="289">
        <f t="shared" si="13"/>
        <v>0</v>
      </c>
      <c r="U66" s="289">
        <f t="shared" si="14"/>
        <v>0</v>
      </c>
      <c r="V66" s="290">
        <f t="shared" si="15"/>
        <v>0</v>
      </c>
      <c r="W66" s="291">
        <f t="shared" si="10"/>
        <v>0</v>
      </c>
      <c r="X66" s="245"/>
      <c r="Y66" s="246"/>
      <c r="Z66" s="247"/>
      <c r="AA66" s="248"/>
      <c r="AB66" s="246"/>
      <c r="AC66" s="246"/>
      <c r="AD66" s="245"/>
      <c r="AE66" s="246"/>
      <c r="AF66" s="247"/>
      <c r="AG66" s="245"/>
      <c r="AH66" s="246"/>
      <c r="AI66" s="247"/>
      <c r="AJ66" s="245"/>
      <c r="AK66" s="246"/>
      <c r="AL66" s="246"/>
      <c r="AM66" s="254"/>
      <c r="AN66" s="255"/>
      <c r="AO66" s="256"/>
      <c r="AP66" s="251"/>
      <c r="AQ66" s="516"/>
      <c r="AR66" s="438"/>
      <c r="AS66" s="436"/>
      <c r="AT66" s="373"/>
    </row>
    <row r="67" spans="1:46" s="161" customFormat="1" ht="15.75" x14ac:dyDescent="0.25">
      <c r="A67" s="231"/>
      <c r="B67" s="515"/>
      <c r="C67" s="515"/>
      <c r="D67" s="234"/>
      <c r="E67" s="234"/>
      <c r="F67" s="234"/>
      <c r="G67" s="235"/>
      <c r="H67" s="234"/>
      <c r="I67" s="234"/>
      <c r="J67" s="515"/>
      <c r="K67" s="234"/>
      <c r="L67" s="530"/>
      <c r="M67" s="234"/>
      <c r="N67" s="234"/>
      <c r="O67" s="234"/>
      <c r="P67" s="234"/>
      <c r="Q67" s="278">
        <f t="shared" si="1"/>
        <v>0</v>
      </c>
      <c r="R67" s="279">
        <f t="shared" si="11"/>
        <v>0</v>
      </c>
      <c r="S67" s="289">
        <f t="shared" si="12"/>
        <v>0</v>
      </c>
      <c r="T67" s="289">
        <f t="shared" si="13"/>
        <v>0</v>
      </c>
      <c r="U67" s="289">
        <f t="shared" si="14"/>
        <v>0</v>
      </c>
      <c r="V67" s="290">
        <f t="shared" si="15"/>
        <v>0</v>
      </c>
      <c r="W67" s="291">
        <f t="shared" si="10"/>
        <v>0</v>
      </c>
      <c r="X67" s="245"/>
      <c r="Y67" s="246"/>
      <c r="Z67" s="247"/>
      <c r="AA67" s="248"/>
      <c r="AB67" s="246"/>
      <c r="AC67" s="246"/>
      <c r="AD67" s="245"/>
      <c r="AE67" s="246"/>
      <c r="AF67" s="247"/>
      <c r="AG67" s="245"/>
      <c r="AH67" s="246"/>
      <c r="AI67" s="247"/>
      <c r="AJ67" s="245"/>
      <c r="AK67" s="246"/>
      <c r="AL67" s="246"/>
      <c r="AM67" s="254"/>
      <c r="AN67" s="255"/>
      <c r="AO67" s="256"/>
      <c r="AP67" s="251"/>
      <c r="AQ67" s="516"/>
      <c r="AR67" s="438"/>
      <c r="AS67" s="436"/>
      <c r="AT67" s="373"/>
    </row>
    <row r="68" spans="1:46" s="161" customFormat="1" ht="15.75" x14ac:dyDescent="0.25">
      <c r="A68" s="231"/>
      <c r="B68" s="515"/>
      <c r="C68" s="515"/>
      <c r="D68" s="234"/>
      <c r="E68" s="234"/>
      <c r="F68" s="234"/>
      <c r="G68" s="235"/>
      <c r="H68" s="235"/>
      <c r="I68" s="235"/>
      <c r="J68" s="517"/>
      <c r="K68" s="235"/>
      <c r="L68" s="531"/>
      <c r="M68" s="235"/>
      <c r="N68" s="235"/>
      <c r="O68" s="235"/>
      <c r="P68" s="235"/>
      <c r="Q68" s="278">
        <f t="shared" si="1"/>
        <v>0</v>
      </c>
      <c r="R68" s="279">
        <f t="shared" si="11"/>
        <v>0</v>
      </c>
      <c r="S68" s="289">
        <f t="shared" si="12"/>
        <v>0</v>
      </c>
      <c r="T68" s="289">
        <f t="shared" si="13"/>
        <v>0</v>
      </c>
      <c r="U68" s="289">
        <f t="shared" si="14"/>
        <v>0</v>
      </c>
      <c r="V68" s="290">
        <f t="shared" si="15"/>
        <v>0</v>
      </c>
      <c r="W68" s="291">
        <f t="shared" si="10"/>
        <v>0</v>
      </c>
      <c r="X68" s="258"/>
      <c r="Y68" s="259"/>
      <c r="Z68" s="256"/>
      <c r="AA68" s="260"/>
      <c r="AB68" s="259"/>
      <c r="AC68" s="259"/>
      <c r="AD68" s="258"/>
      <c r="AE68" s="259"/>
      <c r="AF68" s="256"/>
      <c r="AG68" s="258"/>
      <c r="AH68" s="259"/>
      <c r="AI68" s="256"/>
      <c r="AJ68" s="258"/>
      <c r="AK68" s="259"/>
      <c r="AL68" s="259"/>
      <c r="AM68" s="254"/>
      <c r="AN68" s="255"/>
      <c r="AO68" s="256"/>
      <c r="AP68" s="261"/>
      <c r="AQ68" s="516"/>
      <c r="AR68" s="438"/>
      <c r="AS68" s="436"/>
      <c r="AT68" s="373"/>
    </row>
    <row r="69" spans="1:46" s="161" customFormat="1" ht="15.75" x14ac:dyDescent="0.25">
      <c r="A69" s="231"/>
      <c r="B69" s="515"/>
      <c r="C69" s="515"/>
      <c r="D69" s="234"/>
      <c r="E69" s="234"/>
      <c r="F69" s="234"/>
      <c r="G69" s="235"/>
      <c r="H69" s="235"/>
      <c r="I69" s="235"/>
      <c r="J69" s="517"/>
      <c r="K69" s="235"/>
      <c r="L69" s="531"/>
      <c r="M69" s="235"/>
      <c r="N69" s="235"/>
      <c r="O69" s="235"/>
      <c r="P69" s="235"/>
      <c r="Q69" s="278">
        <f t="shared" si="1"/>
        <v>0</v>
      </c>
      <c r="R69" s="279">
        <f t="shared" si="11"/>
        <v>0</v>
      </c>
      <c r="S69" s="289">
        <f t="shared" si="12"/>
        <v>0</v>
      </c>
      <c r="T69" s="289">
        <f t="shared" si="13"/>
        <v>0</v>
      </c>
      <c r="U69" s="289">
        <f t="shared" si="14"/>
        <v>0</v>
      </c>
      <c r="V69" s="290">
        <f t="shared" si="15"/>
        <v>0</v>
      </c>
      <c r="W69" s="291">
        <f t="shared" si="10"/>
        <v>0</v>
      </c>
      <c r="X69" s="258"/>
      <c r="Y69" s="259"/>
      <c r="Z69" s="256"/>
      <c r="AA69" s="260"/>
      <c r="AB69" s="259"/>
      <c r="AC69" s="259"/>
      <c r="AD69" s="258"/>
      <c r="AE69" s="259"/>
      <c r="AF69" s="256"/>
      <c r="AG69" s="258"/>
      <c r="AH69" s="259"/>
      <c r="AI69" s="256"/>
      <c r="AJ69" s="258"/>
      <c r="AK69" s="259"/>
      <c r="AL69" s="259"/>
      <c r="AM69" s="254"/>
      <c r="AN69" s="255"/>
      <c r="AO69" s="256"/>
      <c r="AP69" s="261"/>
      <c r="AQ69" s="516"/>
      <c r="AR69" s="438"/>
      <c r="AS69" s="436"/>
      <c r="AT69" s="373"/>
    </row>
    <row r="70" spans="1:46" s="207" customFormat="1" ht="15.75" x14ac:dyDescent="0.25">
      <c r="A70" s="231"/>
      <c r="B70" s="515"/>
      <c r="C70" s="515"/>
      <c r="D70" s="234"/>
      <c r="E70" s="234"/>
      <c r="F70" s="234"/>
      <c r="G70" s="235"/>
      <c r="H70" s="234"/>
      <c r="I70" s="234"/>
      <c r="J70" s="520"/>
      <c r="K70" s="234"/>
      <c r="L70" s="530"/>
      <c r="M70" s="234"/>
      <c r="N70" s="234"/>
      <c r="O70" s="234"/>
      <c r="P70" s="234"/>
      <c r="Q70" s="278">
        <f t="shared" si="1"/>
        <v>0</v>
      </c>
      <c r="R70" s="279">
        <f t="shared" si="11"/>
        <v>0</v>
      </c>
      <c r="S70" s="289">
        <f t="shared" si="12"/>
        <v>0</v>
      </c>
      <c r="T70" s="289">
        <f t="shared" si="13"/>
        <v>0</v>
      </c>
      <c r="U70" s="289">
        <f t="shared" si="14"/>
        <v>0</v>
      </c>
      <c r="V70" s="290">
        <f t="shared" si="15"/>
        <v>0</v>
      </c>
      <c r="W70" s="291">
        <f t="shared" si="10"/>
        <v>0</v>
      </c>
      <c r="X70" s="245"/>
      <c r="Y70" s="246"/>
      <c r="Z70" s="247"/>
      <c r="AA70" s="248"/>
      <c r="AB70" s="246"/>
      <c r="AC70" s="246"/>
      <c r="AD70" s="245"/>
      <c r="AE70" s="246"/>
      <c r="AF70" s="247"/>
      <c r="AG70" s="245"/>
      <c r="AH70" s="246"/>
      <c r="AI70" s="247"/>
      <c r="AJ70" s="245"/>
      <c r="AK70" s="246"/>
      <c r="AL70" s="246"/>
      <c r="AM70" s="254"/>
      <c r="AN70" s="255"/>
      <c r="AO70" s="256"/>
      <c r="AP70" s="251"/>
      <c r="AQ70" s="516"/>
      <c r="AR70" s="516"/>
      <c r="AS70" s="261"/>
      <c r="AT70" s="438"/>
    </row>
    <row r="71" spans="1:46" s="207" customFormat="1" ht="15.75" x14ac:dyDescent="0.25">
      <c r="A71" s="231"/>
      <c r="B71" s="515"/>
      <c r="C71" s="515"/>
      <c r="D71" s="234"/>
      <c r="E71" s="234"/>
      <c r="F71" s="234"/>
      <c r="G71" s="521"/>
      <c r="H71" s="234"/>
      <c r="I71" s="234"/>
      <c r="J71" s="234"/>
      <c r="K71" s="234"/>
      <c r="L71" s="530"/>
      <c r="M71" s="234"/>
      <c r="N71" s="234"/>
      <c r="O71" s="234"/>
      <c r="P71" s="234"/>
      <c r="Q71" s="278">
        <f t="shared" si="1"/>
        <v>0</v>
      </c>
      <c r="R71" s="279">
        <f t="shared" si="11"/>
        <v>0</v>
      </c>
      <c r="S71" s="289">
        <f t="shared" si="12"/>
        <v>0</v>
      </c>
      <c r="T71" s="289">
        <f t="shared" si="13"/>
        <v>0</v>
      </c>
      <c r="U71" s="289">
        <f t="shared" si="14"/>
        <v>0</v>
      </c>
      <c r="V71" s="290">
        <f t="shared" si="15"/>
        <v>0</v>
      </c>
      <c r="W71" s="291">
        <f t="shared" si="10"/>
        <v>0</v>
      </c>
      <c r="X71" s="245"/>
      <c r="Y71" s="246"/>
      <c r="Z71" s="247"/>
      <c r="AA71" s="248"/>
      <c r="AB71" s="246"/>
      <c r="AC71" s="246"/>
      <c r="AD71" s="245"/>
      <c r="AE71" s="246"/>
      <c r="AF71" s="247"/>
      <c r="AG71" s="245"/>
      <c r="AH71" s="246"/>
      <c r="AI71" s="247"/>
      <c r="AJ71" s="245"/>
      <c r="AK71" s="246"/>
      <c r="AL71" s="246"/>
      <c r="AM71" s="254"/>
      <c r="AN71" s="255"/>
      <c r="AO71" s="256"/>
      <c r="AP71" s="251"/>
      <c r="AQ71" s="516"/>
      <c r="AR71" s="516"/>
      <c r="AS71" s="261"/>
      <c r="AT71" s="438"/>
    </row>
    <row r="72" spans="1:46" s="161" customFormat="1" ht="15.75" x14ac:dyDescent="0.25">
      <c r="A72" s="231"/>
      <c r="B72" s="515"/>
      <c r="C72" s="515"/>
      <c r="D72" s="234"/>
      <c r="E72" s="234"/>
      <c r="F72" s="235"/>
      <c r="G72" s="521"/>
      <c r="H72" s="235"/>
      <c r="I72" s="517"/>
      <c r="J72" s="517"/>
      <c r="K72" s="517"/>
      <c r="L72" s="532"/>
      <c r="M72" s="235"/>
      <c r="N72" s="235"/>
      <c r="O72" s="235"/>
      <c r="P72" s="234"/>
      <c r="Q72" s="278">
        <f t="shared" si="1"/>
        <v>0</v>
      </c>
      <c r="R72" s="279">
        <f t="shared" si="11"/>
        <v>0</v>
      </c>
      <c r="S72" s="289">
        <f t="shared" si="12"/>
        <v>0</v>
      </c>
      <c r="T72" s="289">
        <f t="shared" si="13"/>
        <v>0</v>
      </c>
      <c r="U72" s="289">
        <f t="shared" si="14"/>
        <v>0</v>
      </c>
      <c r="V72" s="290">
        <f t="shared" si="15"/>
        <v>0</v>
      </c>
      <c r="W72" s="291">
        <f t="shared" si="10"/>
        <v>0</v>
      </c>
      <c r="X72" s="258"/>
      <c r="Y72" s="259"/>
      <c r="Z72" s="256"/>
      <c r="AA72" s="260"/>
      <c r="AB72" s="259"/>
      <c r="AC72" s="259"/>
      <c r="AD72" s="262"/>
      <c r="AE72" s="263"/>
      <c r="AF72" s="264"/>
      <c r="AG72" s="262"/>
      <c r="AH72" s="263"/>
      <c r="AI72" s="264"/>
      <c r="AJ72" s="262"/>
      <c r="AK72" s="263"/>
      <c r="AL72" s="265"/>
      <c r="AM72" s="262"/>
      <c r="AN72" s="263"/>
      <c r="AO72" s="264"/>
      <c r="AP72" s="261"/>
      <c r="AQ72" s="516"/>
      <c r="AR72" s="438"/>
      <c r="AS72" s="436"/>
      <c r="AT72" s="373"/>
    </row>
    <row r="73" spans="1:46" s="161" customFormat="1" ht="15.75" x14ac:dyDescent="0.25">
      <c r="A73" s="231"/>
      <c r="B73" s="515"/>
      <c r="C73" s="515"/>
      <c r="D73" s="234"/>
      <c r="E73" s="234"/>
      <c r="F73" s="235"/>
      <c r="G73" s="521"/>
      <c r="H73" s="235"/>
      <c r="I73" s="517"/>
      <c r="J73" s="517"/>
      <c r="K73" s="517"/>
      <c r="L73" s="532"/>
      <c r="M73" s="235"/>
      <c r="N73" s="235"/>
      <c r="O73" s="235"/>
      <c r="P73" s="234"/>
      <c r="Q73" s="278">
        <f t="shared" si="1"/>
        <v>0</v>
      </c>
      <c r="R73" s="279">
        <f t="shared" si="11"/>
        <v>0</v>
      </c>
      <c r="S73" s="289">
        <f t="shared" si="12"/>
        <v>0</v>
      </c>
      <c r="T73" s="289">
        <f t="shared" si="13"/>
        <v>0</v>
      </c>
      <c r="U73" s="289">
        <f t="shared" si="14"/>
        <v>0</v>
      </c>
      <c r="V73" s="290">
        <f t="shared" si="15"/>
        <v>0</v>
      </c>
      <c r="W73" s="291">
        <f t="shared" si="10"/>
        <v>0</v>
      </c>
      <c r="X73" s="258"/>
      <c r="Y73" s="259"/>
      <c r="Z73" s="256"/>
      <c r="AA73" s="260"/>
      <c r="AB73" s="259"/>
      <c r="AC73" s="256"/>
      <c r="AD73" s="260"/>
      <c r="AE73" s="259"/>
      <c r="AF73" s="256"/>
      <c r="AG73" s="260"/>
      <c r="AH73" s="259"/>
      <c r="AI73" s="256"/>
      <c r="AJ73" s="260"/>
      <c r="AK73" s="259"/>
      <c r="AL73" s="259"/>
      <c r="AM73" s="254"/>
      <c r="AN73" s="255"/>
      <c r="AO73" s="256"/>
      <c r="AP73" s="261"/>
      <c r="AQ73" s="516"/>
      <c r="AR73" s="438"/>
      <c r="AS73" s="436"/>
      <c r="AT73" s="373"/>
    </row>
    <row r="74" spans="1:46" s="161" customFormat="1" ht="15.75" x14ac:dyDescent="0.25">
      <c r="A74" s="231"/>
      <c r="B74" s="515"/>
      <c r="C74" s="515"/>
      <c r="D74" s="234"/>
      <c r="E74" s="234"/>
      <c r="F74" s="235"/>
      <c r="G74" s="521"/>
      <c r="H74" s="235"/>
      <c r="I74" s="517"/>
      <c r="J74" s="517"/>
      <c r="K74" s="517"/>
      <c r="L74" s="532"/>
      <c r="M74" s="235"/>
      <c r="N74" s="235"/>
      <c r="O74" s="235"/>
      <c r="P74" s="234"/>
      <c r="Q74" s="278">
        <f t="shared" si="1"/>
        <v>0</v>
      </c>
      <c r="R74" s="279">
        <f t="shared" si="11"/>
        <v>0</v>
      </c>
      <c r="S74" s="289">
        <f t="shared" si="12"/>
        <v>0</v>
      </c>
      <c r="T74" s="289">
        <f t="shared" si="13"/>
        <v>0</v>
      </c>
      <c r="U74" s="289">
        <f t="shared" si="14"/>
        <v>0</v>
      </c>
      <c r="V74" s="290">
        <f t="shared" si="15"/>
        <v>0</v>
      </c>
      <c r="W74" s="291">
        <f t="shared" si="10"/>
        <v>0</v>
      </c>
      <c r="X74" s="258"/>
      <c r="Y74" s="259"/>
      <c r="Z74" s="256"/>
      <c r="AA74" s="260"/>
      <c r="AB74" s="259"/>
      <c r="AC74" s="256"/>
      <c r="AD74" s="260"/>
      <c r="AE74" s="259"/>
      <c r="AF74" s="256"/>
      <c r="AG74" s="260"/>
      <c r="AH74" s="259"/>
      <c r="AI74" s="256"/>
      <c r="AJ74" s="260"/>
      <c r="AK74" s="259"/>
      <c r="AL74" s="259"/>
      <c r="AM74" s="254"/>
      <c r="AN74" s="255"/>
      <c r="AO74" s="256"/>
      <c r="AP74" s="261"/>
      <c r="AQ74" s="516"/>
      <c r="AR74" s="438"/>
      <c r="AS74" s="436"/>
      <c r="AT74" s="373"/>
    </row>
    <row r="75" spans="1:46" s="161" customFormat="1" ht="15.75" x14ac:dyDescent="0.25">
      <c r="A75" s="231"/>
      <c r="B75" s="515"/>
      <c r="C75" s="515"/>
      <c r="D75" s="234"/>
      <c r="E75" s="234"/>
      <c r="F75" s="235"/>
      <c r="G75" s="521"/>
      <c r="H75" s="235"/>
      <c r="I75" s="517"/>
      <c r="J75" s="517"/>
      <c r="K75" s="517"/>
      <c r="L75" s="532"/>
      <c r="M75" s="235"/>
      <c r="N75" s="235"/>
      <c r="O75" s="235"/>
      <c r="P75" s="234"/>
      <c r="Q75" s="278">
        <f t="shared" si="1"/>
        <v>0</v>
      </c>
      <c r="R75" s="279">
        <f t="shared" si="11"/>
        <v>0</v>
      </c>
      <c r="S75" s="289">
        <f t="shared" si="12"/>
        <v>0</v>
      </c>
      <c r="T75" s="289">
        <f t="shared" si="13"/>
        <v>0</v>
      </c>
      <c r="U75" s="289">
        <f t="shared" si="14"/>
        <v>0</v>
      </c>
      <c r="V75" s="290">
        <f t="shared" si="15"/>
        <v>0</v>
      </c>
      <c r="W75" s="291">
        <f t="shared" si="10"/>
        <v>0</v>
      </c>
      <c r="X75" s="258"/>
      <c r="Y75" s="259"/>
      <c r="Z75" s="256"/>
      <c r="AA75" s="260"/>
      <c r="AB75" s="259"/>
      <c r="AC75" s="256"/>
      <c r="AD75" s="260"/>
      <c r="AE75" s="259"/>
      <c r="AF75" s="256"/>
      <c r="AG75" s="260"/>
      <c r="AH75" s="259"/>
      <c r="AI75" s="256"/>
      <c r="AJ75" s="260"/>
      <c r="AK75" s="259"/>
      <c r="AL75" s="259"/>
      <c r="AM75" s="254"/>
      <c r="AN75" s="255"/>
      <c r="AO75" s="256"/>
      <c r="AP75" s="261"/>
      <c r="AQ75" s="516"/>
      <c r="AR75" s="438"/>
      <c r="AS75" s="436"/>
      <c r="AT75" s="373"/>
    </row>
    <row r="76" spans="1:46" s="161" customFormat="1" ht="15.75" x14ac:dyDescent="0.25">
      <c r="A76" s="231"/>
      <c r="B76" s="515"/>
      <c r="C76" s="515"/>
      <c r="D76" s="234"/>
      <c r="E76" s="234"/>
      <c r="F76" s="235"/>
      <c r="G76" s="521"/>
      <c r="H76" s="235"/>
      <c r="I76" s="517"/>
      <c r="J76" s="517"/>
      <c r="K76" s="517"/>
      <c r="L76" s="532"/>
      <c r="M76" s="235"/>
      <c r="N76" s="235"/>
      <c r="O76" s="235"/>
      <c r="P76" s="234"/>
      <c r="Q76" s="278">
        <f t="shared" si="1"/>
        <v>0</v>
      </c>
      <c r="R76" s="279">
        <f t="shared" si="11"/>
        <v>0</v>
      </c>
      <c r="S76" s="289">
        <f t="shared" si="12"/>
        <v>0</v>
      </c>
      <c r="T76" s="289">
        <f t="shared" si="13"/>
        <v>0</v>
      </c>
      <c r="U76" s="289">
        <f t="shared" si="14"/>
        <v>0</v>
      </c>
      <c r="V76" s="290">
        <f t="shared" si="15"/>
        <v>0</v>
      </c>
      <c r="W76" s="291">
        <f t="shared" si="10"/>
        <v>0</v>
      </c>
      <c r="X76" s="258"/>
      <c r="Y76" s="259"/>
      <c r="Z76" s="256"/>
      <c r="AA76" s="260"/>
      <c r="AB76" s="259"/>
      <c r="AC76" s="256"/>
      <c r="AD76" s="260"/>
      <c r="AE76" s="259"/>
      <c r="AF76" s="256"/>
      <c r="AG76" s="260"/>
      <c r="AH76" s="259"/>
      <c r="AI76" s="256"/>
      <c r="AJ76" s="260"/>
      <c r="AK76" s="259"/>
      <c r="AL76" s="259"/>
      <c r="AM76" s="254"/>
      <c r="AN76" s="255"/>
      <c r="AO76" s="256"/>
      <c r="AP76" s="261"/>
      <c r="AQ76" s="516"/>
      <c r="AR76" s="438"/>
      <c r="AS76" s="436"/>
      <c r="AT76" s="373"/>
    </row>
    <row r="77" spans="1:46" s="161" customFormat="1" ht="15.75" x14ac:dyDescent="0.25">
      <c r="A77" s="231"/>
      <c r="B77" s="515"/>
      <c r="C77" s="515"/>
      <c r="D77" s="234"/>
      <c r="E77" s="234"/>
      <c r="F77" s="235"/>
      <c r="G77" s="521"/>
      <c r="H77" s="235"/>
      <c r="I77" s="517"/>
      <c r="J77" s="517"/>
      <c r="K77" s="517"/>
      <c r="L77" s="532"/>
      <c r="M77" s="235"/>
      <c r="N77" s="235"/>
      <c r="O77" s="235"/>
      <c r="P77" s="234"/>
      <c r="Q77" s="278">
        <f t="shared" si="1"/>
        <v>0</v>
      </c>
      <c r="R77" s="279">
        <f t="shared" si="11"/>
        <v>0</v>
      </c>
      <c r="S77" s="289">
        <f t="shared" si="12"/>
        <v>0</v>
      </c>
      <c r="T77" s="289">
        <f t="shared" si="13"/>
        <v>0</v>
      </c>
      <c r="U77" s="289">
        <f t="shared" si="14"/>
        <v>0</v>
      </c>
      <c r="V77" s="290">
        <f t="shared" si="15"/>
        <v>0</v>
      </c>
      <c r="W77" s="291">
        <f t="shared" si="10"/>
        <v>0</v>
      </c>
      <c r="X77" s="258"/>
      <c r="Y77" s="259"/>
      <c r="Z77" s="256"/>
      <c r="AA77" s="260"/>
      <c r="AB77" s="259"/>
      <c r="AC77" s="259"/>
      <c r="AD77" s="262"/>
      <c r="AE77" s="263"/>
      <c r="AF77" s="264"/>
      <c r="AG77" s="262"/>
      <c r="AH77" s="263"/>
      <c r="AI77" s="264"/>
      <c r="AJ77" s="262"/>
      <c r="AK77" s="263"/>
      <c r="AL77" s="265"/>
      <c r="AM77" s="262"/>
      <c r="AN77" s="263"/>
      <c r="AO77" s="264"/>
      <c r="AP77" s="261"/>
      <c r="AQ77" s="516"/>
      <c r="AR77" s="438"/>
      <c r="AS77" s="436"/>
      <c r="AT77" s="373"/>
    </row>
    <row r="78" spans="1:46" s="161" customFormat="1" ht="15.75" x14ac:dyDescent="0.25">
      <c r="A78" s="231"/>
      <c r="B78" s="515"/>
      <c r="C78" s="515"/>
      <c r="D78" s="234"/>
      <c r="E78" s="234"/>
      <c r="F78" s="235"/>
      <c r="G78" s="521"/>
      <c r="H78" s="235"/>
      <c r="I78" s="517"/>
      <c r="J78" s="517"/>
      <c r="K78" s="517"/>
      <c r="L78" s="532"/>
      <c r="M78" s="235"/>
      <c r="N78" s="235"/>
      <c r="O78" s="235"/>
      <c r="P78" s="234"/>
      <c r="Q78" s="278">
        <f t="shared" si="1"/>
        <v>0</v>
      </c>
      <c r="R78" s="279">
        <f t="shared" si="11"/>
        <v>0</v>
      </c>
      <c r="S78" s="289">
        <f t="shared" si="12"/>
        <v>0</v>
      </c>
      <c r="T78" s="289">
        <f t="shared" si="13"/>
        <v>0</v>
      </c>
      <c r="U78" s="289">
        <f t="shared" si="14"/>
        <v>0</v>
      </c>
      <c r="V78" s="290">
        <f t="shared" si="15"/>
        <v>0</v>
      </c>
      <c r="W78" s="291">
        <f t="shared" si="10"/>
        <v>0</v>
      </c>
      <c r="X78" s="258"/>
      <c r="Y78" s="259"/>
      <c r="Z78" s="256"/>
      <c r="AA78" s="260"/>
      <c r="AB78" s="259"/>
      <c r="AC78" s="259"/>
      <c r="AD78" s="262"/>
      <c r="AE78" s="263"/>
      <c r="AF78" s="264"/>
      <c r="AG78" s="262"/>
      <c r="AH78" s="263"/>
      <c r="AI78" s="264"/>
      <c r="AJ78" s="262"/>
      <c r="AK78" s="263"/>
      <c r="AL78" s="265"/>
      <c r="AM78" s="262"/>
      <c r="AN78" s="263"/>
      <c r="AO78" s="264"/>
      <c r="AP78" s="261"/>
      <c r="AQ78" s="516"/>
      <c r="AR78" s="438"/>
      <c r="AS78" s="436"/>
      <c r="AT78" s="373"/>
    </row>
    <row r="79" spans="1:46" s="161" customFormat="1" ht="15.75" x14ac:dyDescent="0.25">
      <c r="A79" s="231"/>
      <c r="B79" s="515"/>
      <c r="C79" s="515"/>
      <c r="D79" s="234"/>
      <c r="E79" s="234"/>
      <c r="F79" s="235"/>
      <c r="G79" s="521"/>
      <c r="H79" s="235"/>
      <c r="I79" s="517"/>
      <c r="J79" s="517"/>
      <c r="K79" s="517"/>
      <c r="L79" s="532"/>
      <c r="M79" s="235"/>
      <c r="N79" s="235"/>
      <c r="O79" s="235"/>
      <c r="P79" s="234"/>
      <c r="Q79" s="278">
        <f t="shared" si="1"/>
        <v>0</v>
      </c>
      <c r="R79" s="279">
        <f t="shared" si="11"/>
        <v>0</v>
      </c>
      <c r="S79" s="289">
        <f t="shared" si="12"/>
        <v>0</v>
      </c>
      <c r="T79" s="289">
        <f t="shared" si="13"/>
        <v>0</v>
      </c>
      <c r="U79" s="289">
        <f t="shared" si="14"/>
        <v>0</v>
      </c>
      <c r="V79" s="290">
        <f t="shared" si="15"/>
        <v>0</v>
      </c>
      <c r="W79" s="291">
        <f t="shared" si="10"/>
        <v>0</v>
      </c>
      <c r="X79" s="258"/>
      <c r="Y79" s="259"/>
      <c r="Z79" s="256"/>
      <c r="AA79" s="260"/>
      <c r="AB79" s="259"/>
      <c r="AC79" s="259"/>
      <c r="AD79" s="262"/>
      <c r="AE79" s="263"/>
      <c r="AF79" s="264"/>
      <c r="AG79" s="262"/>
      <c r="AH79" s="263"/>
      <c r="AI79" s="264"/>
      <c r="AJ79" s="262"/>
      <c r="AK79" s="263"/>
      <c r="AL79" s="265"/>
      <c r="AM79" s="262"/>
      <c r="AN79" s="263"/>
      <c r="AO79" s="264"/>
      <c r="AP79" s="261"/>
      <c r="AQ79" s="516"/>
      <c r="AR79" s="438"/>
      <c r="AS79" s="436"/>
      <c r="AT79" s="373"/>
    </row>
    <row r="80" spans="1:46" s="161" customFormat="1" ht="15.75" x14ac:dyDescent="0.25">
      <c r="A80" s="231"/>
      <c r="B80" s="515"/>
      <c r="C80" s="515"/>
      <c r="D80" s="234"/>
      <c r="E80" s="234"/>
      <c r="F80" s="235"/>
      <c r="G80" s="521"/>
      <c r="H80" s="235"/>
      <c r="I80" s="517"/>
      <c r="J80" s="517"/>
      <c r="K80" s="517"/>
      <c r="L80" s="532"/>
      <c r="M80" s="235"/>
      <c r="N80" s="235"/>
      <c r="O80" s="235"/>
      <c r="P80" s="234"/>
      <c r="Q80" s="278">
        <f t="shared" si="1"/>
        <v>0</v>
      </c>
      <c r="R80" s="279">
        <f t="shared" si="11"/>
        <v>0</v>
      </c>
      <c r="S80" s="289">
        <f t="shared" si="12"/>
        <v>0</v>
      </c>
      <c r="T80" s="289">
        <f t="shared" si="13"/>
        <v>0</v>
      </c>
      <c r="U80" s="289">
        <f t="shared" si="14"/>
        <v>0</v>
      </c>
      <c r="V80" s="290">
        <f t="shared" si="15"/>
        <v>0</v>
      </c>
      <c r="W80" s="291">
        <f t="shared" si="10"/>
        <v>0</v>
      </c>
      <c r="X80" s="258"/>
      <c r="Y80" s="259"/>
      <c r="Z80" s="256"/>
      <c r="AA80" s="260"/>
      <c r="AB80" s="259"/>
      <c r="AC80" s="259"/>
      <c r="AD80" s="262"/>
      <c r="AE80" s="263"/>
      <c r="AF80" s="264"/>
      <c r="AG80" s="262"/>
      <c r="AH80" s="263"/>
      <c r="AI80" s="264"/>
      <c r="AJ80" s="262"/>
      <c r="AK80" s="263"/>
      <c r="AL80" s="265"/>
      <c r="AM80" s="262"/>
      <c r="AN80" s="263"/>
      <c r="AO80" s="264"/>
      <c r="AP80" s="261"/>
      <c r="AQ80" s="516"/>
      <c r="AR80" s="438"/>
      <c r="AS80" s="436"/>
      <c r="AT80" s="373"/>
    </row>
    <row r="81" spans="1:46" s="161" customFormat="1" ht="15.75" x14ac:dyDescent="0.25">
      <c r="A81" s="231"/>
      <c r="B81" s="515"/>
      <c r="C81" s="515"/>
      <c r="D81" s="234"/>
      <c r="E81" s="234"/>
      <c r="F81" s="235"/>
      <c r="G81" s="521"/>
      <c r="H81" s="235"/>
      <c r="I81" s="517"/>
      <c r="J81" s="517"/>
      <c r="K81" s="517"/>
      <c r="L81" s="532"/>
      <c r="M81" s="235"/>
      <c r="N81" s="235"/>
      <c r="O81" s="235"/>
      <c r="P81" s="234"/>
      <c r="Q81" s="278">
        <f t="shared" si="1"/>
        <v>0</v>
      </c>
      <c r="R81" s="279">
        <f t="shared" si="11"/>
        <v>0</v>
      </c>
      <c r="S81" s="289">
        <f t="shared" si="12"/>
        <v>0</v>
      </c>
      <c r="T81" s="289">
        <f t="shared" si="13"/>
        <v>0</v>
      </c>
      <c r="U81" s="289">
        <f t="shared" si="14"/>
        <v>0</v>
      </c>
      <c r="V81" s="290">
        <f t="shared" si="15"/>
        <v>0</v>
      </c>
      <c r="W81" s="291">
        <f t="shared" si="10"/>
        <v>0</v>
      </c>
      <c r="X81" s="258"/>
      <c r="Y81" s="259"/>
      <c r="Z81" s="256"/>
      <c r="AA81" s="260"/>
      <c r="AB81" s="259"/>
      <c r="AC81" s="259"/>
      <c r="AD81" s="262"/>
      <c r="AE81" s="263"/>
      <c r="AF81" s="264"/>
      <c r="AG81" s="262"/>
      <c r="AH81" s="263"/>
      <c r="AI81" s="264"/>
      <c r="AJ81" s="262"/>
      <c r="AK81" s="263"/>
      <c r="AL81" s="265"/>
      <c r="AM81" s="262"/>
      <c r="AN81" s="263"/>
      <c r="AO81" s="264"/>
      <c r="AP81" s="261"/>
      <c r="AQ81" s="516"/>
      <c r="AR81" s="438"/>
      <c r="AS81" s="436"/>
      <c r="AT81" s="373"/>
    </row>
    <row r="82" spans="1:46" s="161" customFormat="1" ht="15.75" x14ac:dyDescent="0.25">
      <c r="A82" s="231"/>
      <c r="B82" s="515"/>
      <c r="C82" s="515"/>
      <c r="D82" s="234"/>
      <c r="E82" s="234"/>
      <c r="F82" s="235"/>
      <c r="G82" s="521"/>
      <c r="H82" s="235"/>
      <c r="I82" s="517"/>
      <c r="J82" s="517"/>
      <c r="K82" s="517"/>
      <c r="L82" s="532"/>
      <c r="M82" s="235"/>
      <c r="N82" s="235"/>
      <c r="O82" s="235"/>
      <c r="P82" s="234"/>
      <c r="Q82" s="278">
        <f t="shared" si="1"/>
        <v>0</v>
      </c>
      <c r="R82" s="279">
        <f t="shared" si="11"/>
        <v>0</v>
      </c>
      <c r="S82" s="289">
        <f t="shared" si="12"/>
        <v>0</v>
      </c>
      <c r="T82" s="289">
        <f t="shared" si="13"/>
        <v>0</v>
      </c>
      <c r="U82" s="289">
        <f t="shared" si="14"/>
        <v>0</v>
      </c>
      <c r="V82" s="290">
        <f t="shared" si="15"/>
        <v>0</v>
      </c>
      <c r="W82" s="291">
        <f t="shared" si="10"/>
        <v>0</v>
      </c>
      <c r="X82" s="258"/>
      <c r="Y82" s="259"/>
      <c r="Z82" s="256"/>
      <c r="AA82" s="260"/>
      <c r="AB82" s="259"/>
      <c r="AC82" s="259"/>
      <c r="AD82" s="262"/>
      <c r="AE82" s="263"/>
      <c r="AF82" s="264"/>
      <c r="AG82" s="262"/>
      <c r="AH82" s="263"/>
      <c r="AI82" s="264"/>
      <c r="AJ82" s="262"/>
      <c r="AK82" s="263"/>
      <c r="AL82" s="265"/>
      <c r="AM82" s="262"/>
      <c r="AN82" s="263"/>
      <c r="AO82" s="264"/>
      <c r="AP82" s="261"/>
      <c r="AQ82" s="516"/>
      <c r="AR82" s="438"/>
      <c r="AS82" s="436"/>
      <c r="AT82" s="373"/>
    </row>
    <row r="83" spans="1:46" s="161" customFormat="1" ht="15.75" x14ac:dyDescent="0.25">
      <c r="A83" s="231"/>
      <c r="B83" s="515"/>
      <c r="C83" s="515"/>
      <c r="D83" s="234"/>
      <c r="E83" s="234"/>
      <c r="F83" s="235"/>
      <c r="G83" s="521"/>
      <c r="H83" s="235"/>
      <c r="I83" s="517"/>
      <c r="J83" s="517"/>
      <c r="K83" s="517"/>
      <c r="L83" s="532"/>
      <c r="M83" s="235"/>
      <c r="N83" s="235"/>
      <c r="O83" s="235"/>
      <c r="P83" s="234"/>
      <c r="Q83" s="278">
        <f t="shared" si="1"/>
        <v>0</v>
      </c>
      <c r="R83" s="279">
        <f t="shared" si="11"/>
        <v>0</v>
      </c>
      <c r="S83" s="289">
        <f t="shared" si="12"/>
        <v>0</v>
      </c>
      <c r="T83" s="289">
        <f t="shared" si="13"/>
        <v>0</v>
      </c>
      <c r="U83" s="289">
        <f t="shared" si="14"/>
        <v>0</v>
      </c>
      <c r="V83" s="290">
        <f t="shared" si="15"/>
        <v>0</v>
      </c>
      <c r="W83" s="291">
        <f t="shared" si="10"/>
        <v>0</v>
      </c>
      <c r="X83" s="258"/>
      <c r="Y83" s="259"/>
      <c r="Z83" s="256"/>
      <c r="AA83" s="260"/>
      <c r="AB83" s="259"/>
      <c r="AC83" s="259"/>
      <c r="AD83" s="262"/>
      <c r="AE83" s="263"/>
      <c r="AF83" s="264"/>
      <c r="AG83" s="262"/>
      <c r="AH83" s="263"/>
      <c r="AI83" s="264"/>
      <c r="AJ83" s="262"/>
      <c r="AK83" s="263"/>
      <c r="AL83" s="265"/>
      <c r="AM83" s="262"/>
      <c r="AN83" s="263"/>
      <c r="AO83" s="264"/>
      <c r="AP83" s="261"/>
      <c r="AQ83" s="516"/>
      <c r="AR83" s="438"/>
      <c r="AS83" s="436"/>
      <c r="AT83" s="373"/>
    </row>
    <row r="84" spans="1:46" s="161" customFormat="1" ht="15.75" x14ac:dyDescent="0.25">
      <c r="A84" s="231"/>
      <c r="B84" s="515"/>
      <c r="C84" s="515"/>
      <c r="D84" s="234"/>
      <c r="E84" s="234"/>
      <c r="F84" s="235"/>
      <c r="G84" s="521"/>
      <c r="H84" s="235"/>
      <c r="I84" s="517"/>
      <c r="J84" s="517"/>
      <c r="K84" s="517"/>
      <c r="L84" s="532"/>
      <c r="M84" s="235"/>
      <c r="N84" s="235"/>
      <c r="O84" s="235"/>
      <c r="P84" s="234"/>
      <c r="Q84" s="278">
        <f t="shared" si="1"/>
        <v>0</v>
      </c>
      <c r="R84" s="279">
        <f t="shared" si="11"/>
        <v>0</v>
      </c>
      <c r="S84" s="289">
        <f t="shared" si="12"/>
        <v>0</v>
      </c>
      <c r="T84" s="289">
        <f t="shared" si="13"/>
        <v>0</v>
      </c>
      <c r="U84" s="289">
        <f t="shared" si="14"/>
        <v>0</v>
      </c>
      <c r="V84" s="290">
        <f t="shared" si="15"/>
        <v>0</v>
      </c>
      <c r="W84" s="291">
        <f t="shared" si="10"/>
        <v>0</v>
      </c>
      <c r="X84" s="258"/>
      <c r="Y84" s="259"/>
      <c r="Z84" s="256"/>
      <c r="AA84" s="260"/>
      <c r="AB84" s="259"/>
      <c r="AC84" s="259"/>
      <c r="AD84" s="262"/>
      <c r="AE84" s="263"/>
      <c r="AF84" s="264"/>
      <c r="AG84" s="262"/>
      <c r="AH84" s="263"/>
      <c r="AI84" s="264"/>
      <c r="AJ84" s="262"/>
      <c r="AK84" s="263"/>
      <c r="AL84" s="265"/>
      <c r="AM84" s="262"/>
      <c r="AN84" s="263"/>
      <c r="AO84" s="264"/>
      <c r="AP84" s="261"/>
      <c r="AQ84" s="516"/>
      <c r="AR84" s="438"/>
      <c r="AS84" s="436"/>
      <c r="AT84" s="373"/>
    </row>
    <row r="85" spans="1:46" s="161" customFormat="1" ht="15.75" x14ac:dyDescent="0.25">
      <c r="A85" s="231"/>
      <c r="B85" s="515"/>
      <c r="C85" s="515"/>
      <c r="D85" s="234"/>
      <c r="E85" s="234"/>
      <c r="F85" s="235"/>
      <c r="G85" s="521"/>
      <c r="H85" s="235"/>
      <c r="I85" s="517"/>
      <c r="J85" s="517"/>
      <c r="K85" s="517"/>
      <c r="L85" s="532"/>
      <c r="M85" s="235"/>
      <c r="N85" s="235"/>
      <c r="O85" s="235"/>
      <c r="P85" s="234"/>
      <c r="Q85" s="278">
        <f t="shared" si="1"/>
        <v>0</v>
      </c>
      <c r="R85" s="279">
        <f t="shared" si="11"/>
        <v>0</v>
      </c>
      <c r="S85" s="289">
        <f t="shared" si="12"/>
        <v>0</v>
      </c>
      <c r="T85" s="289">
        <f t="shared" si="13"/>
        <v>0</v>
      </c>
      <c r="U85" s="289">
        <f t="shared" si="14"/>
        <v>0</v>
      </c>
      <c r="V85" s="290">
        <f t="shared" si="15"/>
        <v>0</v>
      </c>
      <c r="W85" s="291">
        <f t="shared" si="10"/>
        <v>0</v>
      </c>
      <c r="X85" s="258"/>
      <c r="Y85" s="259"/>
      <c r="Z85" s="256"/>
      <c r="AA85" s="260"/>
      <c r="AB85" s="259"/>
      <c r="AC85" s="259"/>
      <c r="AD85" s="262"/>
      <c r="AE85" s="263"/>
      <c r="AF85" s="264"/>
      <c r="AG85" s="262"/>
      <c r="AH85" s="263"/>
      <c r="AI85" s="264"/>
      <c r="AJ85" s="262"/>
      <c r="AK85" s="263"/>
      <c r="AL85" s="265"/>
      <c r="AM85" s="262"/>
      <c r="AN85" s="263"/>
      <c r="AO85" s="264"/>
      <c r="AP85" s="261"/>
      <c r="AQ85" s="516"/>
      <c r="AR85" s="438"/>
      <c r="AS85" s="436"/>
      <c r="AT85" s="373"/>
    </row>
    <row r="86" spans="1:46" s="161" customFormat="1" ht="15.75" x14ac:dyDescent="0.25">
      <c r="A86" s="231"/>
      <c r="B86" s="515"/>
      <c r="C86" s="515"/>
      <c r="D86" s="234"/>
      <c r="E86" s="234"/>
      <c r="F86" s="235"/>
      <c r="G86" s="521"/>
      <c r="H86" s="235"/>
      <c r="I86" s="517"/>
      <c r="J86" s="517"/>
      <c r="K86" s="517"/>
      <c r="L86" s="532"/>
      <c r="M86" s="235"/>
      <c r="N86" s="235"/>
      <c r="O86" s="235"/>
      <c r="P86" s="234"/>
      <c r="Q86" s="278">
        <f t="shared" si="1"/>
        <v>0</v>
      </c>
      <c r="R86" s="279">
        <f t="shared" si="11"/>
        <v>0</v>
      </c>
      <c r="S86" s="289">
        <f t="shared" si="12"/>
        <v>0</v>
      </c>
      <c r="T86" s="289">
        <f t="shared" si="13"/>
        <v>0</v>
      </c>
      <c r="U86" s="289">
        <f t="shared" si="14"/>
        <v>0</v>
      </c>
      <c r="V86" s="290">
        <f t="shared" si="15"/>
        <v>0</v>
      </c>
      <c r="W86" s="291">
        <f t="shared" si="10"/>
        <v>0</v>
      </c>
      <c r="X86" s="258"/>
      <c r="Y86" s="259"/>
      <c r="Z86" s="256"/>
      <c r="AA86" s="260"/>
      <c r="AB86" s="259"/>
      <c r="AC86" s="259"/>
      <c r="AD86" s="262"/>
      <c r="AE86" s="263"/>
      <c r="AF86" s="264"/>
      <c r="AG86" s="262"/>
      <c r="AH86" s="263"/>
      <c r="AI86" s="264"/>
      <c r="AJ86" s="262"/>
      <c r="AK86" s="263"/>
      <c r="AL86" s="265"/>
      <c r="AM86" s="262"/>
      <c r="AN86" s="263"/>
      <c r="AO86" s="264"/>
      <c r="AP86" s="261"/>
      <c r="AQ86" s="516"/>
      <c r="AR86" s="438"/>
      <c r="AS86" s="436"/>
      <c r="AT86" s="373"/>
    </row>
    <row r="87" spans="1:46" s="161" customFormat="1" ht="15.75" x14ac:dyDescent="0.25">
      <c r="A87" s="231"/>
      <c r="B87" s="515"/>
      <c r="C87" s="515"/>
      <c r="D87" s="234"/>
      <c r="E87" s="234"/>
      <c r="F87" s="235"/>
      <c r="G87" s="521"/>
      <c r="H87" s="235"/>
      <c r="I87" s="517"/>
      <c r="J87" s="517"/>
      <c r="K87" s="517"/>
      <c r="L87" s="532"/>
      <c r="M87" s="235"/>
      <c r="N87" s="235"/>
      <c r="O87" s="235"/>
      <c r="P87" s="234"/>
      <c r="Q87" s="278">
        <f t="shared" si="1"/>
        <v>0</v>
      </c>
      <c r="R87" s="279">
        <f t="shared" si="11"/>
        <v>0</v>
      </c>
      <c r="S87" s="289">
        <f t="shared" si="12"/>
        <v>0</v>
      </c>
      <c r="T87" s="289">
        <f t="shared" si="13"/>
        <v>0</v>
      </c>
      <c r="U87" s="289">
        <f t="shared" si="14"/>
        <v>0</v>
      </c>
      <c r="V87" s="290">
        <f t="shared" si="15"/>
        <v>0</v>
      </c>
      <c r="W87" s="291">
        <f t="shared" si="10"/>
        <v>0</v>
      </c>
      <c r="X87" s="258"/>
      <c r="Y87" s="259"/>
      <c r="Z87" s="256"/>
      <c r="AA87" s="260"/>
      <c r="AB87" s="259"/>
      <c r="AC87" s="259"/>
      <c r="AD87" s="262"/>
      <c r="AE87" s="263"/>
      <c r="AF87" s="264"/>
      <c r="AG87" s="262"/>
      <c r="AH87" s="263"/>
      <c r="AI87" s="264"/>
      <c r="AJ87" s="262"/>
      <c r="AK87" s="263"/>
      <c r="AL87" s="265"/>
      <c r="AM87" s="262"/>
      <c r="AN87" s="263"/>
      <c r="AO87" s="264"/>
      <c r="AP87" s="261"/>
      <c r="AQ87" s="516"/>
      <c r="AR87" s="438"/>
      <c r="AS87" s="436"/>
      <c r="AT87" s="373"/>
    </row>
    <row r="88" spans="1:46" s="161" customFormat="1" ht="15.75" x14ac:dyDescent="0.25">
      <c r="A88" s="231"/>
      <c r="B88" s="515"/>
      <c r="C88" s="515"/>
      <c r="D88" s="234"/>
      <c r="E88" s="234"/>
      <c r="F88" s="235"/>
      <c r="G88" s="521"/>
      <c r="H88" s="235"/>
      <c r="I88" s="517"/>
      <c r="J88" s="517"/>
      <c r="K88" s="517"/>
      <c r="L88" s="532"/>
      <c r="M88" s="235"/>
      <c r="N88" s="235"/>
      <c r="O88" s="235"/>
      <c r="P88" s="234"/>
      <c r="Q88" s="278">
        <f t="shared" si="1"/>
        <v>0</v>
      </c>
      <c r="R88" s="279">
        <f t="shared" si="11"/>
        <v>0</v>
      </c>
      <c r="S88" s="289">
        <f t="shared" si="12"/>
        <v>0</v>
      </c>
      <c r="T88" s="289">
        <f t="shared" si="13"/>
        <v>0</v>
      </c>
      <c r="U88" s="289">
        <f t="shared" si="14"/>
        <v>0</v>
      </c>
      <c r="V88" s="290">
        <f t="shared" si="15"/>
        <v>0</v>
      </c>
      <c r="W88" s="291">
        <f t="shared" si="10"/>
        <v>0</v>
      </c>
      <c r="X88" s="258"/>
      <c r="Y88" s="259"/>
      <c r="Z88" s="256"/>
      <c r="AA88" s="260"/>
      <c r="AB88" s="259"/>
      <c r="AC88" s="259"/>
      <c r="AD88" s="262"/>
      <c r="AE88" s="263"/>
      <c r="AF88" s="264"/>
      <c r="AG88" s="262"/>
      <c r="AH88" s="263"/>
      <c r="AI88" s="264"/>
      <c r="AJ88" s="262"/>
      <c r="AK88" s="263"/>
      <c r="AL88" s="265"/>
      <c r="AM88" s="262"/>
      <c r="AN88" s="263"/>
      <c r="AO88" s="264"/>
      <c r="AP88" s="261"/>
      <c r="AQ88" s="516"/>
      <c r="AR88" s="438"/>
      <c r="AS88" s="436"/>
      <c r="AT88" s="373"/>
    </row>
    <row r="89" spans="1:46" s="161" customFormat="1" ht="15.75" x14ac:dyDescent="0.25">
      <c r="A89" s="231"/>
      <c r="B89" s="515"/>
      <c r="C89" s="515"/>
      <c r="D89" s="234"/>
      <c r="E89" s="234"/>
      <c r="F89" s="235"/>
      <c r="G89" s="521"/>
      <c r="H89" s="235"/>
      <c r="I89" s="517"/>
      <c r="J89" s="517"/>
      <c r="K89" s="517"/>
      <c r="L89" s="532"/>
      <c r="M89" s="235"/>
      <c r="N89" s="235"/>
      <c r="O89" s="235"/>
      <c r="P89" s="234"/>
      <c r="Q89" s="278">
        <f t="shared" si="1"/>
        <v>0</v>
      </c>
      <c r="R89" s="279">
        <f t="shared" si="11"/>
        <v>0</v>
      </c>
      <c r="S89" s="289">
        <f t="shared" si="12"/>
        <v>0</v>
      </c>
      <c r="T89" s="289">
        <f t="shared" si="13"/>
        <v>0</v>
      </c>
      <c r="U89" s="289">
        <f t="shared" si="14"/>
        <v>0</v>
      </c>
      <c r="V89" s="290">
        <f t="shared" si="15"/>
        <v>0</v>
      </c>
      <c r="W89" s="291">
        <f t="shared" si="10"/>
        <v>0</v>
      </c>
      <c r="X89" s="258"/>
      <c r="Y89" s="259"/>
      <c r="Z89" s="256"/>
      <c r="AA89" s="260"/>
      <c r="AB89" s="259"/>
      <c r="AC89" s="259"/>
      <c r="AD89" s="262"/>
      <c r="AE89" s="263"/>
      <c r="AF89" s="264"/>
      <c r="AG89" s="262"/>
      <c r="AH89" s="263"/>
      <c r="AI89" s="264"/>
      <c r="AJ89" s="262"/>
      <c r="AK89" s="263"/>
      <c r="AL89" s="265"/>
      <c r="AM89" s="262"/>
      <c r="AN89" s="263"/>
      <c r="AO89" s="264"/>
      <c r="AP89" s="261"/>
      <c r="AQ89" s="516"/>
      <c r="AR89" s="438"/>
      <c r="AS89" s="436"/>
      <c r="AT89" s="373"/>
    </row>
    <row r="90" spans="1:46" s="161" customFormat="1" ht="15.75" x14ac:dyDescent="0.25">
      <c r="A90" s="522"/>
      <c r="B90" s="515"/>
      <c r="C90" s="515"/>
      <c r="D90" s="523"/>
      <c r="E90" s="523"/>
      <c r="F90" s="523"/>
      <c r="G90" s="524"/>
      <c r="H90" s="523"/>
      <c r="I90" s="523"/>
      <c r="J90" s="520"/>
      <c r="K90" s="523"/>
      <c r="L90" s="533"/>
      <c r="M90" s="523"/>
      <c r="N90" s="523"/>
      <c r="O90" s="523"/>
      <c r="P90" s="234"/>
      <c r="Q90" s="278">
        <f t="shared" si="1"/>
        <v>0</v>
      </c>
      <c r="R90" s="279">
        <f t="shared" si="11"/>
        <v>0</v>
      </c>
      <c r="S90" s="289">
        <f t="shared" si="12"/>
        <v>0</v>
      </c>
      <c r="T90" s="289">
        <f t="shared" si="13"/>
        <v>0</v>
      </c>
      <c r="U90" s="289">
        <f t="shared" si="14"/>
        <v>0</v>
      </c>
      <c r="V90" s="290">
        <f t="shared" si="15"/>
        <v>0</v>
      </c>
      <c r="W90" s="291">
        <f t="shared" si="10"/>
        <v>0</v>
      </c>
      <c r="X90" s="258"/>
      <c r="Y90" s="259"/>
      <c r="Z90" s="256"/>
      <c r="AA90" s="260"/>
      <c r="AB90" s="259"/>
      <c r="AC90" s="259"/>
      <c r="AD90" s="262"/>
      <c r="AE90" s="263"/>
      <c r="AF90" s="264"/>
      <c r="AG90" s="262"/>
      <c r="AH90" s="263"/>
      <c r="AI90" s="264"/>
      <c r="AJ90" s="262"/>
      <c r="AK90" s="263"/>
      <c r="AL90" s="265"/>
      <c r="AM90" s="262"/>
      <c r="AN90" s="263"/>
      <c r="AO90" s="264"/>
      <c r="AP90" s="435"/>
      <c r="AQ90" s="437"/>
      <c r="AR90" s="516"/>
      <c r="AS90" s="436"/>
      <c r="AT90" s="373"/>
    </row>
    <row r="91" spans="1:46" s="161" customFormat="1" ht="15.75" x14ac:dyDescent="0.25">
      <c r="A91" s="231"/>
      <c r="B91" s="232"/>
      <c r="C91" s="232"/>
      <c r="D91" s="233"/>
      <c r="E91" s="234"/>
      <c r="F91" s="236"/>
      <c r="G91" s="236"/>
      <c r="H91" s="235"/>
      <c r="I91" s="237"/>
      <c r="J91" s="238"/>
      <c r="K91" s="237"/>
      <c r="L91" s="534"/>
      <c r="M91" s="235"/>
      <c r="N91" s="235"/>
      <c r="O91" s="235"/>
      <c r="P91" s="234"/>
      <c r="Q91" s="278">
        <f t="shared" si="1"/>
        <v>0</v>
      </c>
      <c r="R91" s="279">
        <f t="shared" si="11"/>
        <v>0</v>
      </c>
      <c r="S91" s="289">
        <f t="shared" si="12"/>
        <v>0</v>
      </c>
      <c r="T91" s="289">
        <f t="shared" si="13"/>
        <v>0</v>
      </c>
      <c r="U91" s="289">
        <f t="shared" si="14"/>
        <v>0</v>
      </c>
      <c r="V91" s="290">
        <f t="shared" si="15"/>
        <v>0</v>
      </c>
      <c r="W91" s="291">
        <f t="shared" si="10"/>
        <v>0</v>
      </c>
      <c r="X91" s="258"/>
      <c r="Y91" s="259"/>
      <c r="Z91" s="256"/>
      <c r="AA91" s="260"/>
      <c r="AB91" s="259"/>
      <c r="AC91" s="259"/>
      <c r="AD91" s="262"/>
      <c r="AE91" s="263"/>
      <c r="AF91" s="264"/>
      <c r="AG91" s="262"/>
      <c r="AH91" s="263"/>
      <c r="AI91" s="264"/>
      <c r="AJ91" s="262"/>
      <c r="AK91" s="263"/>
      <c r="AL91" s="265"/>
      <c r="AM91" s="262"/>
      <c r="AN91" s="263"/>
      <c r="AO91" s="264"/>
      <c r="AP91" s="261"/>
      <c r="AQ91" s="252"/>
      <c r="AR91" s="432"/>
      <c r="AS91" s="436"/>
      <c r="AT91" s="373"/>
    </row>
    <row r="92" spans="1:46" s="161" customFormat="1" ht="15.75" x14ac:dyDescent="0.25">
      <c r="A92" s="231"/>
      <c r="B92" s="232"/>
      <c r="C92" s="232"/>
      <c r="D92" s="233"/>
      <c r="E92" s="234"/>
      <c r="F92" s="236"/>
      <c r="G92" s="236"/>
      <c r="H92" s="235"/>
      <c r="I92" s="237"/>
      <c r="J92" s="238"/>
      <c r="K92" s="237"/>
      <c r="L92" s="534"/>
      <c r="M92" s="235"/>
      <c r="N92" s="235"/>
      <c r="O92" s="235"/>
      <c r="P92" s="234"/>
      <c r="Q92" s="278">
        <f t="shared" si="1"/>
        <v>0</v>
      </c>
      <c r="R92" s="279">
        <f t="shared" si="11"/>
        <v>0</v>
      </c>
      <c r="S92" s="289">
        <f t="shared" si="12"/>
        <v>0</v>
      </c>
      <c r="T92" s="289">
        <f t="shared" si="13"/>
        <v>0</v>
      </c>
      <c r="U92" s="289">
        <f t="shared" si="14"/>
        <v>0</v>
      </c>
      <c r="V92" s="290">
        <f t="shared" si="15"/>
        <v>0</v>
      </c>
      <c r="W92" s="291">
        <f t="shared" si="10"/>
        <v>0</v>
      </c>
      <c r="X92" s="258"/>
      <c r="Y92" s="259"/>
      <c r="Z92" s="256"/>
      <c r="AA92" s="260"/>
      <c r="AB92" s="259"/>
      <c r="AC92" s="259"/>
      <c r="AD92" s="262"/>
      <c r="AE92" s="263"/>
      <c r="AF92" s="264"/>
      <c r="AG92" s="262"/>
      <c r="AH92" s="263"/>
      <c r="AI92" s="264"/>
      <c r="AJ92" s="262"/>
      <c r="AK92" s="263"/>
      <c r="AL92" s="265"/>
      <c r="AM92" s="262"/>
      <c r="AN92" s="263"/>
      <c r="AO92" s="264"/>
      <c r="AP92" s="261"/>
      <c r="AQ92" s="252"/>
      <c r="AR92" s="432"/>
      <c r="AS92" s="436"/>
      <c r="AT92" s="373"/>
    </row>
    <row r="93" spans="1:46" s="161" customFormat="1" ht="15.75" x14ac:dyDescent="0.25">
      <c r="A93" s="235"/>
      <c r="B93" s="239"/>
      <c r="C93" s="239"/>
      <c r="D93" s="240"/>
      <c r="E93" s="241"/>
      <c r="F93" s="236"/>
      <c r="G93" s="324"/>
      <c r="H93" s="242"/>
      <c r="I93" s="243"/>
      <c r="J93" s="244"/>
      <c r="K93" s="243"/>
      <c r="L93" s="535"/>
      <c r="M93" s="242"/>
      <c r="N93" s="242"/>
      <c r="O93" s="242"/>
      <c r="P93" s="241"/>
      <c r="Q93" s="278">
        <f t="shared" si="1"/>
        <v>0</v>
      </c>
      <c r="R93" s="279">
        <f t="shared" si="11"/>
        <v>0</v>
      </c>
      <c r="S93" s="289">
        <f t="shared" si="12"/>
        <v>0</v>
      </c>
      <c r="T93" s="289">
        <f t="shared" si="13"/>
        <v>0</v>
      </c>
      <c r="U93" s="289">
        <f t="shared" si="14"/>
        <v>0</v>
      </c>
      <c r="V93" s="290">
        <f t="shared" si="15"/>
        <v>0</v>
      </c>
      <c r="W93" s="291">
        <f t="shared" si="10"/>
        <v>0</v>
      </c>
      <c r="X93" s="266"/>
      <c r="Y93" s="267"/>
      <c r="Z93" s="268"/>
      <c r="AA93" s="269"/>
      <c r="AB93" s="267"/>
      <c r="AC93" s="267"/>
      <c r="AD93" s="270"/>
      <c r="AE93" s="271"/>
      <c r="AF93" s="272"/>
      <c r="AG93" s="270"/>
      <c r="AH93" s="271"/>
      <c r="AI93" s="272"/>
      <c r="AJ93" s="270"/>
      <c r="AK93" s="271"/>
      <c r="AL93" s="271"/>
      <c r="AM93" s="262"/>
      <c r="AN93" s="263"/>
      <c r="AO93" s="264"/>
      <c r="AP93" s="273"/>
      <c r="AQ93" s="274"/>
      <c r="AR93" s="433"/>
      <c r="AS93" s="436"/>
      <c r="AT93" s="373"/>
    </row>
    <row r="94" spans="1:46" s="161" customFormat="1" ht="15.6" customHeight="1" thickBot="1" x14ac:dyDescent="0.3">
      <c r="A94" s="37"/>
      <c r="B94" s="29"/>
      <c r="C94" s="38"/>
      <c r="D94" s="38"/>
      <c r="E94" s="38"/>
      <c r="F94" s="38"/>
      <c r="G94" s="38"/>
      <c r="H94" s="38"/>
      <c r="I94" s="38"/>
      <c r="J94" s="29"/>
      <c r="K94" s="38"/>
      <c r="L94" s="38"/>
      <c r="M94" s="38"/>
      <c r="N94" s="38"/>
      <c r="O94" s="38"/>
      <c r="P94" s="38"/>
      <c r="Q94" s="226">
        <f t="shared" si="1"/>
        <v>1981987</v>
      </c>
      <c r="R94" s="208">
        <f t="shared" si="11"/>
        <v>164933</v>
      </c>
      <c r="S94" s="209">
        <f t="shared" si="12"/>
        <v>550028</v>
      </c>
      <c r="T94" s="209">
        <f t="shared" si="13"/>
        <v>1267026</v>
      </c>
      <c r="U94" s="209">
        <f t="shared" si="14"/>
        <v>0</v>
      </c>
      <c r="V94" s="210">
        <f t="shared" si="15"/>
        <v>0</v>
      </c>
      <c r="W94" s="210">
        <f t="shared" si="10"/>
        <v>0</v>
      </c>
      <c r="X94" s="445">
        <f>SUM(X35:X93)</f>
        <v>0</v>
      </c>
      <c r="Y94" s="446">
        <f t="shared" ref="Y94:AF94" si="16">SUM(Y35:Y93)</f>
        <v>152647</v>
      </c>
      <c r="Z94" s="447">
        <f t="shared" si="16"/>
        <v>12286</v>
      </c>
      <c r="AA94" s="445">
        <f t="shared" si="16"/>
        <v>100000</v>
      </c>
      <c r="AB94" s="446">
        <f t="shared" si="16"/>
        <v>229528</v>
      </c>
      <c r="AC94" s="447">
        <f t="shared" si="16"/>
        <v>220500</v>
      </c>
      <c r="AD94" s="445">
        <f t="shared" si="16"/>
        <v>565500</v>
      </c>
      <c r="AE94" s="446">
        <f t="shared" si="16"/>
        <v>324526</v>
      </c>
      <c r="AF94" s="447">
        <f t="shared" si="16"/>
        <v>377000</v>
      </c>
      <c r="AG94" s="211"/>
      <c r="AH94" s="31"/>
      <c r="AI94" s="32"/>
      <c r="AJ94" s="33"/>
      <c r="AK94" s="31"/>
      <c r="AL94" s="31"/>
      <c r="AM94" s="33"/>
      <c r="AN94" s="211"/>
      <c r="AO94" s="212"/>
      <c r="AP94" s="213"/>
      <c r="AQ94" s="214"/>
      <c r="AR94" s="214"/>
      <c r="AS94" s="213"/>
      <c r="AT94" s="214"/>
    </row>
    <row r="95" spans="1:46" ht="15.75" thickBot="1" x14ac:dyDescent="0.3">
      <c r="J95" s="1"/>
      <c r="X95" s="440">
        <f t="shared" ref="X95:AF95" si="17">SUM(X97+X100+X103+X106+X112+X115+X118+X121+X127+X130+X133+X136)</f>
        <v>0</v>
      </c>
      <c r="Y95" s="441">
        <f t="shared" si="17"/>
        <v>152647</v>
      </c>
      <c r="Z95" s="442">
        <f t="shared" si="17"/>
        <v>12286</v>
      </c>
      <c r="AA95" s="440">
        <f t="shared" si="17"/>
        <v>100000</v>
      </c>
      <c r="AB95" s="441">
        <f t="shared" si="17"/>
        <v>229528</v>
      </c>
      <c r="AC95" s="442">
        <f t="shared" si="17"/>
        <v>220500</v>
      </c>
      <c r="AD95" s="440">
        <f t="shared" si="17"/>
        <v>565500</v>
      </c>
      <c r="AE95" s="441">
        <f t="shared" si="17"/>
        <v>324526</v>
      </c>
      <c r="AF95" s="442">
        <f t="shared" si="17"/>
        <v>377000</v>
      </c>
    </row>
    <row r="96" spans="1:46" ht="15.75" thickBot="1" x14ac:dyDescent="0.3">
      <c r="F96" s="217"/>
      <c r="J96" s="1"/>
      <c r="U96" s="217" t="s">
        <v>105</v>
      </c>
    </row>
    <row r="97" spans="5:43" x14ac:dyDescent="0.25">
      <c r="E97" s="1" t="s">
        <v>97</v>
      </c>
      <c r="F97" s="206" t="s">
        <v>165</v>
      </c>
      <c r="G97" s="1" t="s">
        <v>117</v>
      </c>
      <c r="J97" s="1"/>
      <c r="P97" s="206" t="s">
        <v>145</v>
      </c>
      <c r="Q97" s="206"/>
      <c r="U97" s="1" t="s">
        <v>7</v>
      </c>
      <c r="X97" s="218">
        <f>SUMIFS($X$35:$X$93,$G$35:$G$93,$G$97,$P$35:$P$93,"SF 21-27 (taotletav raha)")</f>
        <v>0</v>
      </c>
      <c r="Y97" s="219">
        <f>SUMIFS($Y$35:$Y$93,$G$35:$G$93,$G$97,$P$35:$P$93,"SF 21-27 (taotletav raha)")</f>
        <v>0</v>
      </c>
      <c r="Z97" s="220">
        <f>SUMIFS($Z$35:$Z$93,$G$35:$G$93,$G$97,$P$35:$P$93,"SF 21-27 (taotletav raha)")</f>
        <v>0</v>
      </c>
      <c r="AA97" s="218">
        <f>SUMIFS($AA$35:$AA$93,$G$35:$G$93,$G$97,$P$35:$P$93,"SF 21-27 (taotletav raha)")</f>
        <v>100000</v>
      </c>
      <c r="AB97" s="221">
        <f>SUMIFS($AB$35:$AB$93,$G$35:$G$93,$G$97,$P$35:$P$93,"SF 21-27 (taotletav raha)")</f>
        <v>31286</v>
      </c>
      <c r="AC97" s="222">
        <f>SUMIFS($AC$35:$AC$93,$G$35:$G$93,$G$97,$P$35:$P$93,"SF 21-27 (taotletav raha)")</f>
        <v>0</v>
      </c>
      <c r="AD97" s="223">
        <f>SUMIFS($AD$35:$AD$93,$G$35:$G$93,$G$97,$P$35:$P$93,"SF 21-27 (taotletav raha)")</f>
        <v>170000</v>
      </c>
      <c r="AE97" s="221">
        <f>SUMIFS($AE$35:$AE$93,$G$35:$G$93,$G$97,$P$35:$P$93,"SF 21-27 (taotletav raha)")</f>
        <v>61350</v>
      </c>
      <c r="AF97" s="222">
        <f>SUMIFS($AF$35:$AF$93,$G$35:$G$93,$G$97,$P$35:$P$93,"SF 21-27 (taotletav raha)")</f>
        <v>80000</v>
      </c>
      <c r="AQ97" s="1" t="s">
        <v>175</v>
      </c>
    </row>
    <row r="98" spans="5:43" ht="15.75" thickBot="1" x14ac:dyDescent="0.3">
      <c r="E98" s="1" t="s">
        <v>177</v>
      </c>
      <c r="F98" s="206" t="s">
        <v>178</v>
      </c>
      <c r="G98" s="1" t="s">
        <v>127</v>
      </c>
      <c r="J98" s="1"/>
      <c r="P98" s="206" t="s">
        <v>179</v>
      </c>
      <c r="Q98" s="206"/>
      <c r="U98" s="224" t="s">
        <v>180</v>
      </c>
      <c r="V98" s="224"/>
      <c r="W98" s="224"/>
      <c r="X98" s="216">
        <f>X97*1.2</f>
        <v>0</v>
      </c>
      <c r="Y98" s="114">
        <f>Y97</f>
        <v>0</v>
      </c>
      <c r="Z98" s="115">
        <f>Z97*1.2</f>
        <v>0</v>
      </c>
      <c r="AA98" s="216">
        <f>AA97*1.22</f>
        <v>122000</v>
      </c>
      <c r="AB98" s="114">
        <f t="shared" ref="AB98" si="18">AB97</f>
        <v>31286</v>
      </c>
      <c r="AC98" s="115">
        <f t="shared" ref="AC98" si="19">AC97*1.22</f>
        <v>0</v>
      </c>
      <c r="AD98" s="216">
        <f>AD97*1.22</f>
        <v>207400</v>
      </c>
      <c r="AE98" s="114">
        <f t="shared" ref="AE98" si="20">AE97</f>
        <v>61350</v>
      </c>
      <c r="AF98" s="115">
        <f t="shared" ref="AF98" si="21">AF97*1.22</f>
        <v>97600</v>
      </c>
      <c r="AQ98" s="1" t="s">
        <v>147</v>
      </c>
    </row>
    <row r="99" spans="5:43" ht="15.75" thickBot="1" x14ac:dyDescent="0.3">
      <c r="E99" s="1" t="s">
        <v>125</v>
      </c>
      <c r="F99" s="206" t="s">
        <v>181</v>
      </c>
      <c r="G99" s="1" t="s">
        <v>110</v>
      </c>
      <c r="J99" s="1"/>
      <c r="P99" s="206" t="s">
        <v>152</v>
      </c>
      <c r="Q99" s="206"/>
      <c r="X99" s="225"/>
      <c r="Y99" s="225"/>
      <c r="Z99" s="225"/>
      <c r="AQ99" s="1" t="s">
        <v>182</v>
      </c>
    </row>
    <row r="100" spans="5:43" x14ac:dyDescent="0.25">
      <c r="F100" s="206" t="s">
        <v>183</v>
      </c>
      <c r="G100" s="1" t="s">
        <v>99</v>
      </c>
      <c r="J100" s="1"/>
      <c r="P100" s="206" t="s">
        <v>184</v>
      </c>
      <c r="Q100" s="206"/>
      <c r="U100" s="1" t="s">
        <v>8</v>
      </c>
      <c r="X100" s="218">
        <f>SUMIFS(X35:X93,G35:G93,$G$98,P35:P93,"SF 21-27 (taotletav raha)")</f>
        <v>0</v>
      </c>
      <c r="Y100" s="219">
        <f>SUMIFS(Y35:Y93,G35:G93,$G$98,P35:P93,"SF 21-27 (taotletav raha)")</f>
        <v>0</v>
      </c>
      <c r="Z100" s="220">
        <f>SUMIFS(Z35:Z93,G35:G93,$G$98,P35:P93,"SF 21-27 (taotletav raha)")</f>
        <v>0</v>
      </c>
      <c r="AA100" s="223">
        <f>SUMIFS(AA35:AA93,G35:G93,$G$98,P35:P93,"SF 21-27 (taotletav raha)")</f>
        <v>0</v>
      </c>
      <c r="AB100" s="221">
        <f>SUMIFS(AB35:AB93,G35:G93,$G$98,P35:P93,"SF 21-27 (taotletav raha)")</f>
        <v>56976</v>
      </c>
      <c r="AC100" s="222">
        <f>SUMIFS(AC35:AC93,G35:G93,$G$98,P35:P93,"SF 21-27 (taotletav raha)")</f>
        <v>50000</v>
      </c>
      <c r="AD100" s="223">
        <f>SUMIFS(AD35:AD93,G35:G93,$G$98,P35:P93,"SF 21-27 (taotletav raha)")</f>
        <v>0</v>
      </c>
      <c r="AE100" s="221">
        <f>SUMIFS(AE35:AE93,G35:G93,$G$98,P35:P93,"SF 21-27 (taotletav raha)")</f>
        <v>56976</v>
      </c>
      <c r="AF100" s="222">
        <f>SUMIFS(AF35:AF93,G35:G93,$G$98,P35:P93,"SF 21-27 (taotletav raha)")</f>
        <v>0</v>
      </c>
      <c r="AQ100" s="1" t="s">
        <v>107</v>
      </c>
    </row>
    <row r="101" spans="5:43" ht="15.75" thickBot="1" x14ac:dyDescent="0.3">
      <c r="F101" s="206" t="s">
        <v>98</v>
      </c>
      <c r="J101" s="1"/>
      <c r="P101" s="206" t="s">
        <v>18</v>
      </c>
      <c r="Q101" s="206"/>
      <c r="U101" s="224" t="s">
        <v>180</v>
      </c>
      <c r="X101" s="216">
        <f>X100*1.2</f>
        <v>0</v>
      </c>
      <c r="Y101" s="114">
        <f>Y100</f>
        <v>0</v>
      </c>
      <c r="Z101" s="115">
        <f>Z100*1.2</f>
        <v>0</v>
      </c>
      <c r="AA101" s="216">
        <f>AA100*1.22</f>
        <v>0</v>
      </c>
      <c r="AB101" s="114">
        <f t="shared" ref="AB101" si="22">AB100</f>
        <v>56976</v>
      </c>
      <c r="AC101" s="115">
        <f t="shared" ref="AC101" si="23">AC100*1.22</f>
        <v>61000</v>
      </c>
      <c r="AD101" s="216">
        <f>AD100*1.22</f>
        <v>0</v>
      </c>
      <c r="AE101" s="114">
        <f t="shared" ref="AE101" si="24">AE100</f>
        <v>56976</v>
      </c>
      <c r="AF101" s="115">
        <f t="shared" ref="AF101" si="25">AF100*1.22</f>
        <v>0</v>
      </c>
      <c r="AQ101" s="1" t="s">
        <v>116</v>
      </c>
    </row>
    <row r="102" spans="5:43" ht="15.75" thickBot="1" x14ac:dyDescent="0.3">
      <c r="F102" s="206" t="s">
        <v>132</v>
      </c>
      <c r="J102" s="1"/>
      <c r="P102" s="206" t="s">
        <v>185</v>
      </c>
      <c r="Q102" s="206"/>
      <c r="X102" s="225"/>
      <c r="Y102" s="225"/>
      <c r="Z102" s="225"/>
    </row>
    <row r="103" spans="5:43" x14ac:dyDescent="0.25">
      <c r="F103" s="206" t="s">
        <v>186</v>
      </c>
      <c r="J103" s="1"/>
      <c r="K103" s="225"/>
      <c r="L103" s="225"/>
      <c r="M103" s="225"/>
      <c r="P103" s="206" t="s">
        <v>105</v>
      </c>
      <c r="U103" s="1" t="s">
        <v>187</v>
      </c>
      <c r="X103" s="218">
        <f>SUMIFS(X35:X93,G35:G93,$G$99,P35:P93,"SF 21-27 (taotletav raha)")</f>
        <v>0</v>
      </c>
      <c r="Y103" s="219">
        <f>SUMIFS(Y35:Y93,G35:G93,$G$99,P35:P93,"SF 21-27 (taotletav raha)")</f>
        <v>0</v>
      </c>
      <c r="Z103" s="220">
        <f>SUMIFS(Z35:Z93,G35:G93,$G$99,P35:P93,"SF 21-27 (taotletav raha)")</f>
        <v>0</v>
      </c>
      <c r="AA103" s="223">
        <f>SUMIFS(AA35:AA93,G35:G93,$G$99,P35:P93,"SF 21-27 (taotletav raha)")</f>
        <v>0</v>
      </c>
      <c r="AB103" s="221">
        <f>SUMIFS(AB35:AB93,G35:G93,$G$99,P35:P93,"SF 21-27 (taotletav raha)")</f>
        <v>0</v>
      </c>
      <c r="AC103" s="222">
        <f>SUMIFS(AC35:AC93,G35:G93,$G$99,P35:P93,"SF 21-27 (taotletav raha)")</f>
        <v>62000</v>
      </c>
      <c r="AD103" s="223">
        <f>SUMIFS(AD35:AD93,G35:G93,$G$99,P35:P93,"SF 21-27 (taotletav raha)")</f>
        <v>0</v>
      </c>
      <c r="AE103" s="221">
        <f>SUMIFS(AE35:AE93,G35:G93,$G$99,P35:P93,"SF 21-27 (taotletav raha)")</f>
        <v>0</v>
      </c>
      <c r="AF103" s="222">
        <f>SUMIFS(AF35:AF93,G35:G93,$G$99,P35:P93,"SF 21-27 (taotletav raha)")</f>
        <v>62000</v>
      </c>
    </row>
    <row r="104" spans="5:43" ht="15.75" thickBot="1" x14ac:dyDescent="0.3">
      <c r="F104" s="206" t="s">
        <v>188</v>
      </c>
      <c r="J104" s="1"/>
      <c r="K104" s="225"/>
      <c r="L104" s="225"/>
      <c r="U104" s="224" t="s">
        <v>180</v>
      </c>
      <c r="X104" s="216">
        <f>X103*1.2</f>
        <v>0</v>
      </c>
      <c r="Y104" s="114">
        <f>Y103</f>
        <v>0</v>
      </c>
      <c r="Z104" s="115">
        <f>Z103*1.2</f>
        <v>0</v>
      </c>
      <c r="AA104" s="216">
        <f>AA103*1.22</f>
        <v>0</v>
      </c>
      <c r="AB104" s="114">
        <f t="shared" ref="AB104" si="26">AB103</f>
        <v>0</v>
      </c>
      <c r="AC104" s="115">
        <f t="shared" ref="AC104" si="27">AC103*1.22</f>
        <v>75640</v>
      </c>
      <c r="AD104" s="216">
        <f>AD103*1.22</f>
        <v>0</v>
      </c>
      <c r="AE104" s="114">
        <f t="shared" ref="AE104" si="28">AE103</f>
        <v>0</v>
      </c>
      <c r="AF104" s="115">
        <f t="shared" ref="AF104" si="29">AF103*1.22</f>
        <v>75640</v>
      </c>
    </row>
    <row r="105" spans="5:43" ht="15.75" thickBot="1" x14ac:dyDescent="0.3">
      <c r="F105" s="206" t="s">
        <v>189</v>
      </c>
      <c r="J105" s="1"/>
      <c r="K105" s="225"/>
      <c r="L105" s="225"/>
      <c r="X105" s="225"/>
      <c r="Y105" s="225"/>
      <c r="Z105" s="225"/>
    </row>
    <row r="106" spans="5:43" x14ac:dyDescent="0.25">
      <c r="F106" s="206" t="s">
        <v>137</v>
      </c>
      <c r="J106" s="1"/>
      <c r="K106" s="225"/>
      <c r="L106" s="225"/>
      <c r="U106" s="1" t="s">
        <v>10</v>
      </c>
      <c r="X106" s="218">
        <f>SUMIFS(X35:X93,G35:G93,$G$100,P35:P93,"SF 21-27 (taotletav raha)")</f>
        <v>0</v>
      </c>
      <c r="Y106" s="219">
        <f>SUMIFS(Y35:Y93,G35:G93,$G$100,P35:P93,"SF 21-27 (taotletav raha)")</f>
        <v>0</v>
      </c>
      <c r="Z106" s="220">
        <f>SUMIFS(Z35:Z93,G35:G93,$G$100,P35:P93,"SF 21-27 (taotletav raha)")</f>
        <v>0</v>
      </c>
      <c r="AA106" s="223">
        <f>SUMIFS(AA35:AA93,G35:G93,$G$100,P35:P93,"SF 21-27 (taotletav raha)")</f>
        <v>0</v>
      </c>
      <c r="AB106" s="221">
        <f>SUMIFS(AB35:AB93,G35:G93,$G$100,P35:P93,"SF 21-27 (taotletav raha)")</f>
        <v>69742</v>
      </c>
      <c r="AC106" s="222">
        <f>SUMIFS(AC35:AC93,G35:G93,$G$100,P35:P93,"SF 21-27 (taotletav raha)")</f>
        <v>30000</v>
      </c>
      <c r="AD106" s="223">
        <f>SUMIFS(AD35:AD93,G35:G93,$G$100,P35:P93,"SF 21-27 (taotletav raha)")</f>
        <v>0</v>
      </c>
      <c r="AE106" s="221">
        <f>SUMIFS(AE35:AE93,G35:G93,$G$100,P35:P93,"SF 21-27 (taotletav raha)")</f>
        <v>104200</v>
      </c>
      <c r="AF106" s="222">
        <f>SUMIFS(AF35:AF93,G35:G93,$G$100,P35:P93,"SF 21-27 (taotletav raha)")</f>
        <v>85000</v>
      </c>
    </row>
    <row r="107" spans="5:43" ht="15.75" thickBot="1" x14ac:dyDescent="0.3">
      <c r="F107" s="206" t="s">
        <v>109</v>
      </c>
      <c r="J107" s="1"/>
      <c r="U107" s="224" t="s">
        <v>180</v>
      </c>
      <c r="X107" s="216">
        <f>X106*1.2</f>
        <v>0</v>
      </c>
      <c r="Y107" s="114">
        <f>Y106</f>
        <v>0</v>
      </c>
      <c r="Z107" s="115">
        <f>Z106*1.2</f>
        <v>0</v>
      </c>
      <c r="AA107" s="216">
        <f>AA106*1.22</f>
        <v>0</v>
      </c>
      <c r="AB107" s="114">
        <f t="shared" ref="AB107" si="30">AB106</f>
        <v>69742</v>
      </c>
      <c r="AC107" s="115">
        <f t="shared" ref="AC107" si="31">AC106*1.22</f>
        <v>36600</v>
      </c>
      <c r="AD107" s="216">
        <f>AD106*1.22</f>
        <v>0</v>
      </c>
      <c r="AE107" s="114">
        <f t="shared" ref="AE107" si="32">AE106</f>
        <v>104200</v>
      </c>
      <c r="AF107" s="115">
        <f t="shared" ref="AF107" si="33">AF106*1.22</f>
        <v>103700</v>
      </c>
    </row>
    <row r="108" spans="5:43" x14ac:dyDescent="0.25">
      <c r="F108" s="206" t="s">
        <v>190</v>
      </c>
      <c r="J108" s="1"/>
      <c r="K108" s="225"/>
      <c r="L108" s="225"/>
    </row>
    <row r="109" spans="5:43" x14ac:dyDescent="0.25">
      <c r="F109" s="206" t="s">
        <v>191</v>
      </c>
      <c r="J109" s="1"/>
      <c r="K109" s="225"/>
      <c r="L109" s="225"/>
    </row>
    <row r="110" spans="5:43" x14ac:dyDescent="0.25">
      <c r="F110" s="206" t="s">
        <v>192</v>
      </c>
      <c r="J110" s="1"/>
      <c r="K110" s="225"/>
      <c r="L110" s="225"/>
    </row>
    <row r="111" spans="5:43" ht="15.75" thickBot="1" x14ac:dyDescent="0.3">
      <c r="F111" s="206" t="s">
        <v>193</v>
      </c>
      <c r="J111" s="1"/>
      <c r="K111" s="225"/>
      <c r="L111" s="225"/>
      <c r="U111" s="217" t="s">
        <v>194</v>
      </c>
    </row>
    <row r="112" spans="5:43" x14ac:dyDescent="0.25">
      <c r="F112" s="206" t="s">
        <v>195</v>
      </c>
      <c r="J112" s="1"/>
      <c r="K112" s="225"/>
      <c r="L112" s="225"/>
      <c r="U112" s="1" t="s">
        <v>7</v>
      </c>
      <c r="X112" s="474">
        <f t="shared" ref="X112:AF112" si="34">SUMIFS(X$35:X$93, $G$35:$G$93, $G$97, $P$35:$P$93, "Baaseelarve")+SUMIFS(X$35:X$93, $G$35:$G$93, $G$97, $P$35:$P$93, "Muu rahastus")+SUMIFS(X$35:X$93, $G$35:$G$93, $G$97, $P$35:$P$93, "Reserv (SR)")+SUMIFS(X$35:X$93, $G$35:$G$93, $G$97, $P$35:$P$93, "RRF")+SUMIFS(X$35:X$93, $G$35:$G$93, $G$97, $P$35:$P$93, "SF 14-20 (töös olev projekt)")</f>
        <v>0</v>
      </c>
      <c r="Y112" s="475">
        <f t="shared" si="34"/>
        <v>12647</v>
      </c>
      <c r="Z112" s="505">
        <f t="shared" si="34"/>
        <v>2286</v>
      </c>
      <c r="AA112" s="474">
        <f t="shared" si="34"/>
        <v>0</v>
      </c>
      <c r="AB112" s="475">
        <f t="shared" si="34"/>
        <v>19524</v>
      </c>
      <c r="AC112" s="505">
        <f t="shared" si="34"/>
        <v>8500</v>
      </c>
      <c r="AD112" s="474">
        <f t="shared" si="34"/>
        <v>0</v>
      </c>
      <c r="AE112" s="475">
        <f t="shared" si="34"/>
        <v>0</v>
      </c>
      <c r="AF112" s="476">
        <f t="shared" si="34"/>
        <v>0</v>
      </c>
    </row>
    <row r="113" spans="6:32" ht="15.75" thickBot="1" x14ac:dyDescent="0.3">
      <c r="F113" s="206" t="s">
        <v>196</v>
      </c>
      <c r="J113" s="1"/>
      <c r="K113" s="225"/>
      <c r="L113" s="225"/>
      <c r="U113" s="224" t="s">
        <v>180</v>
      </c>
      <c r="X113" s="477">
        <f>X112*1.2</f>
        <v>0</v>
      </c>
      <c r="Y113" s="478">
        <f>Y112</f>
        <v>12647</v>
      </c>
      <c r="Z113" s="506">
        <f>Z112*1.2</f>
        <v>2743.2</v>
      </c>
      <c r="AA113" s="477">
        <f>AA112*1.22</f>
        <v>0</v>
      </c>
      <c r="AB113" s="478">
        <f t="shared" ref="AB113" si="35">AB112</f>
        <v>19524</v>
      </c>
      <c r="AC113" s="506">
        <f t="shared" ref="AC113" si="36">AC112*1.22</f>
        <v>10370</v>
      </c>
      <c r="AD113" s="477">
        <f>AD112*1.22</f>
        <v>0</v>
      </c>
      <c r="AE113" s="478">
        <f t="shared" ref="AE113" si="37">AE112</f>
        <v>0</v>
      </c>
      <c r="AF113" s="479">
        <f t="shared" ref="AF113" si="38">AF112*1.22</f>
        <v>0</v>
      </c>
    </row>
    <row r="114" spans="6:32" ht="15.75" thickBot="1" x14ac:dyDescent="0.3">
      <c r="F114" s="206" t="s">
        <v>197</v>
      </c>
      <c r="J114" s="1"/>
      <c r="K114" s="225"/>
      <c r="L114" s="225"/>
      <c r="X114" s="225"/>
      <c r="Y114" s="225"/>
      <c r="Z114" s="225"/>
      <c r="AA114" s="225"/>
      <c r="AB114" s="225"/>
      <c r="AC114" s="225"/>
      <c r="AD114" s="225"/>
      <c r="AE114" s="225"/>
      <c r="AF114" s="225"/>
    </row>
    <row r="115" spans="6:32" x14ac:dyDescent="0.25">
      <c r="F115" s="206" t="s">
        <v>126</v>
      </c>
      <c r="J115" s="1"/>
      <c r="U115" s="1" t="s">
        <v>8</v>
      </c>
      <c r="X115" s="474">
        <f t="shared" ref="X115:AF115" si="39">SUMIFS(X$35:X$93, $G$35:$G$93, $G$98, $P$35:$P$93, "Baaseelarve")+SUMIFS(X$35:X$93, $G$35:$G$93, $G$98, $P$35:$P$93, "Muu rahastus")+SUMIFS(X$35:X$93, $G$35:$G$93, $G$98, $P$35:$P$93, "Reserv (SR)")+SUMIFS(X$35:X$93, $G$35:$G$93, $G$98, $P$35:$P$93, "RRF")+SUMIFS(X$35:X$93, $G$35:$G$93, $G$98, $P$35:$P$93, "SF 14-20 (töös olev projekt)")</f>
        <v>0</v>
      </c>
      <c r="Y115" s="475">
        <f t="shared" si="39"/>
        <v>0</v>
      </c>
      <c r="Z115" s="505">
        <f t="shared" si="39"/>
        <v>0</v>
      </c>
      <c r="AA115" s="474">
        <f t="shared" si="39"/>
        <v>0</v>
      </c>
      <c r="AB115" s="475">
        <f t="shared" si="39"/>
        <v>0</v>
      </c>
      <c r="AC115" s="505">
        <f t="shared" si="39"/>
        <v>0</v>
      </c>
      <c r="AD115" s="474">
        <f t="shared" si="39"/>
        <v>0</v>
      </c>
      <c r="AE115" s="475">
        <f t="shared" si="39"/>
        <v>0</v>
      </c>
      <c r="AF115" s="476">
        <f t="shared" si="39"/>
        <v>0</v>
      </c>
    </row>
    <row r="116" spans="6:32" ht="15.75" thickBot="1" x14ac:dyDescent="0.3">
      <c r="I116" s="3"/>
      <c r="J116" s="1"/>
      <c r="U116" s="224" t="s">
        <v>180</v>
      </c>
      <c r="X116" s="477">
        <f>X115*1.2</f>
        <v>0</v>
      </c>
      <c r="Y116" s="478">
        <f>Y115</f>
        <v>0</v>
      </c>
      <c r="Z116" s="506">
        <f>Z115*1.2</f>
        <v>0</v>
      </c>
      <c r="AA116" s="477">
        <f>AA115*1.22</f>
        <v>0</v>
      </c>
      <c r="AB116" s="478">
        <f t="shared" ref="AB116" si="40">AB115</f>
        <v>0</v>
      </c>
      <c r="AC116" s="506">
        <f t="shared" ref="AC116" si="41">AC115*1.22</f>
        <v>0</v>
      </c>
      <c r="AD116" s="477">
        <f>AD115*1.22</f>
        <v>0</v>
      </c>
      <c r="AE116" s="478">
        <f t="shared" ref="AE116" si="42">AE115</f>
        <v>0</v>
      </c>
      <c r="AF116" s="479">
        <f t="shared" ref="AF116" si="43">AF115*1.22</f>
        <v>0</v>
      </c>
    </row>
    <row r="117" spans="6:32" ht="15.75" thickBot="1" x14ac:dyDescent="0.3">
      <c r="H117" s="3"/>
      <c r="J117" s="1"/>
      <c r="X117" s="225"/>
      <c r="Y117" s="225"/>
      <c r="Z117" s="225"/>
      <c r="AA117" s="225"/>
      <c r="AB117" s="225"/>
      <c r="AC117" s="225"/>
      <c r="AD117" s="225"/>
      <c r="AE117" s="225"/>
      <c r="AF117" s="225"/>
    </row>
    <row r="118" spans="6:32" x14ac:dyDescent="0.25">
      <c r="U118" s="1" t="s">
        <v>187</v>
      </c>
      <c r="X118" s="474">
        <f t="shared" ref="X118:AF118" si="44">SUMIFS(X$35:X$93, $G$35:$G$93, $G$99, $P$35:$P$93, "Baaseelarve")+SUMIFS(X$35:X$93, $G$35:$G$93, $G$99, $P$35:$P$93, "Muu rahastus")+SUMIFS(X$35:X$93, $G$35:$G$93, $G$99, $P$35:$P$93, "Reserv (SR)")+SUMIFS(X$35:X$93, $G$35:$G$93, $G$99, $P$35:$P$93, "RRF")+SUMIFS(X$35:X$93, $G$35:$G$93, $G$99, $P$35:$P$93, "SF 14-20 (töös olev projekt)")</f>
        <v>0</v>
      </c>
      <c r="Y118" s="475">
        <f t="shared" si="44"/>
        <v>0</v>
      </c>
      <c r="Z118" s="505">
        <f t="shared" si="44"/>
        <v>0</v>
      </c>
      <c r="AA118" s="474">
        <f t="shared" si="44"/>
        <v>0</v>
      </c>
      <c r="AB118" s="475">
        <f t="shared" si="44"/>
        <v>0</v>
      </c>
      <c r="AC118" s="505">
        <f t="shared" si="44"/>
        <v>0</v>
      </c>
      <c r="AD118" s="474">
        <f t="shared" si="44"/>
        <v>0</v>
      </c>
      <c r="AE118" s="475">
        <f t="shared" si="44"/>
        <v>0</v>
      </c>
      <c r="AF118" s="476">
        <f t="shared" si="44"/>
        <v>0</v>
      </c>
    </row>
    <row r="119" spans="6:32" ht="15.75" thickBot="1" x14ac:dyDescent="0.3">
      <c r="U119" s="224" t="s">
        <v>180</v>
      </c>
      <c r="X119" s="477">
        <f>X118*1.2</f>
        <v>0</v>
      </c>
      <c r="Y119" s="478">
        <f>Y118</f>
        <v>0</v>
      </c>
      <c r="Z119" s="506">
        <f>Z118*1.2</f>
        <v>0</v>
      </c>
      <c r="AA119" s="477">
        <f>AA118*1.22</f>
        <v>0</v>
      </c>
      <c r="AB119" s="478">
        <f t="shared" ref="AB119" si="45">AB118</f>
        <v>0</v>
      </c>
      <c r="AC119" s="506">
        <f t="shared" ref="AC119" si="46">AC118*1.22</f>
        <v>0</v>
      </c>
      <c r="AD119" s="477">
        <f>AD118*1.22</f>
        <v>0</v>
      </c>
      <c r="AE119" s="478">
        <f t="shared" ref="AE119" si="47">AE118</f>
        <v>0</v>
      </c>
      <c r="AF119" s="479">
        <f t="shared" ref="AF119" si="48">AF118*1.22</f>
        <v>0</v>
      </c>
    </row>
    <row r="120" spans="6:32" ht="15.75" thickBot="1" x14ac:dyDescent="0.3">
      <c r="X120" s="225"/>
      <c r="Y120" s="225"/>
      <c r="Z120" s="225"/>
      <c r="AA120" s="225"/>
      <c r="AB120" s="225"/>
      <c r="AC120" s="225"/>
      <c r="AD120" s="225"/>
      <c r="AE120" s="225"/>
      <c r="AF120" s="225"/>
    </row>
    <row r="121" spans="6:32" x14ac:dyDescent="0.25">
      <c r="U121" s="1" t="s">
        <v>10</v>
      </c>
      <c r="X121" s="474">
        <f t="shared" ref="X121:AF121" si="49">SUMIFS(X$35:X$93, $G$35:$G$93, $G$100, $P$35:$P$93, "Baaseelarve")+SUMIFS(X$35:X$93, $G$35:$G$93, $G$100, $P$35:$P$93, "Muu rahastus")+SUMIFS(X$35:X$93, $G$35:$G$93, $G$100, $P$35:$P$93, "Reserv (SR)")+SUMIFS(X$35:X$93, $G$35:$G$93, $G$100, $P$35:$P$93, "RRF")+SUMIFS(X$35:X$93, $G$35:$G$93, $G$100, $P$35:$P$93, "SF 14-20 (töös olev projekt)")</f>
        <v>0</v>
      </c>
      <c r="Y121" s="475">
        <f t="shared" si="49"/>
        <v>140000</v>
      </c>
      <c r="Z121" s="505">
        <f t="shared" si="49"/>
        <v>10000</v>
      </c>
      <c r="AA121" s="474">
        <f t="shared" si="49"/>
        <v>0</v>
      </c>
      <c r="AB121" s="475">
        <f t="shared" si="49"/>
        <v>52000</v>
      </c>
      <c r="AC121" s="505">
        <f t="shared" si="49"/>
        <v>10000</v>
      </c>
      <c r="AD121" s="474">
        <f t="shared" si="49"/>
        <v>0</v>
      </c>
      <c r="AE121" s="475">
        <f t="shared" si="49"/>
        <v>52000</v>
      </c>
      <c r="AF121" s="476">
        <f t="shared" si="49"/>
        <v>10000</v>
      </c>
    </row>
    <row r="122" spans="6:32" ht="15.75" thickBot="1" x14ac:dyDescent="0.3">
      <c r="U122" s="224" t="s">
        <v>180</v>
      </c>
      <c r="X122" s="477">
        <f>X121*1.2</f>
        <v>0</v>
      </c>
      <c r="Y122" s="478">
        <f>Y121</f>
        <v>140000</v>
      </c>
      <c r="Z122" s="506">
        <f>Z121*1.2</f>
        <v>12000</v>
      </c>
      <c r="AA122" s="477">
        <f>AA121*1.22</f>
        <v>0</v>
      </c>
      <c r="AB122" s="478">
        <f t="shared" ref="AB122" si="50">AB121</f>
        <v>52000</v>
      </c>
      <c r="AC122" s="506">
        <f t="shared" ref="AC122" si="51">AC121*1.22</f>
        <v>12200</v>
      </c>
      <c r="AD122" s="477">
        <f>AD121*1.22</f>
        <v>0</v>
      </c>
      <c r="AE122" s="478">
        <f t="shared" ref="AE122" si="52">AE121</f>
        <v>52000</v>
      </c>
      <c r="AF122" s="479">
        <f t="shared" ref="AF122" si="53">AF121*1.22</f>
        <v>12200</v>
      </c>
    </row>
    <row r="123" spans="6:32" x14ac:dyDescent="0.25">
      <c r="X123" s="225"/>
      <c r="Y123" s="225"/>
      <c r="Z123" s="225"/>
      <c r="AA123" s="225"/>
      <c r="AB123" s="225"/>
      <c r="AC123" s="225"/>
      <c r="AD123" s="225"/>
      <c r="AE123" s="225"/>
      <c r="AF123" s="225"/>
    </row>
    <row r="124" spans="6:32" x14ac:dyDescent="0.25">
      <c r="X124" s="225"/>
      <c r="Y124" s="225"/>
      <c r="Z124" s="225"/>
      <c r="AA124" s="225"/>
      <c r="AB124" s="225"/>
      <c r="AC124" s="225"/>
      <c r="AD124" s="225"/>
      <c r="AE124" s="225"/>
      <c r="AF124" s="225"/>
    </row>
    <row r="125" spans="6:32" x14ac:dyDescent="0.25">
      <c r="X125" s="225"/>
      <c r="Y125" s="225"/>
      <c r="Z125" s="225"/>
      <c r="AA125" s="225"/>
      <c r="AB125" s="225"/>
      <c r="AC125" s="225"/>
      <c r="AD125" s="225"/>
      <c r="AE125" s="225"/>
      <c r="AF125" s="225"/>
    </row>
    <row r="126" spans="6:32" ht="15.75" thickBot="1" x14ac:dyDescent="0.3">
      <c r="U126" s="217" t="s">
        <v>152</v>
      </c>
    </row>
    <row r="127" spans="6:32" x14ac:dyDescent="0.25">
      <c r="U127" s="1" t="s">
        <v>7</v>
      </c>
      <c r="X127" s="474">
        <f t="shared" ref="X127:AF127" si="54">SUMIFS(X$35:X$93,$G$35:$G$93,$G$97,$P$35:$P$93,$P$99)</f>
        <v>0</v>
      </c>
      <c r="Y127" s="475">
        <f t="shared" si="54"/>
        <v>0</v>
      </c>
      <c r="Z127" s="505">
        <f t="shared" si="54"/>
        <v>0</v>
      </c>
      <c r="AA127" s="474">
        <f t="shared" si="54"/>
        <v>0</v>
      </c>
      <c r="AB127" s="475">
        <f t="shared" si="54"/>
        <v>0</v>
      </c>
      <c r="AC127" s="476">
        <f t="shared" si="54"/>
        <v>0</v>
      </c>
      <c r="AD127" s="507">
        <f t="shared" si="54"/>
        <v>0</v>
      </c>
      <c r="AE127" s="475">
        <f t="shared" si="54"/>
        <v>0</v>
      </c>
      <c r="AF127" s="476">
        <f t="shared" si="54"/>
        <v>0</v>
      </c>
    </row>
    <row r="128" spans="6:32" ht="15.75" thickBot="1" x14ac:dyDescent="0.3">
      <c r="U128" s="224" t="s">
        <v>180</v>
      </c>
      <c r="X128" s="477">
        <f>X127*1.2</f>
        <v>0</v>
      </c>
      <c r="Y128" s="478">
        <f>Y127</f>
        <v>0</v>
      </c>
      <c r="Z128" s="506">
        <f>Z127*1.2</f>
        <v>0</v>
      </c>
      <c r="AA128" s="477">
        <f>AA127*1.22</f>
        <v>0</v>
      </c>
      <c r="AB128" s="478">
        <f t="shared" ref="AB128" si="55">AB127</f>
        <v>0</v>
      </c>
      <c r="AC128" s="479">
        <f t="shared" ref="AC128" si="56">AC127*1.22</f>
        <v>0</v>
      </c>
      <c r="AD128" s="508">
        <f>AD127*1.22</f>
        <v>0</v>
      </c>
      <c r="AE128" s="478">
        <f t="shared" ref="AE128" si="57">AE127</f>
        <v>0</v>
      </c>
      <c r="AF128" s="479">
        <f t="shared" ref="AF128" si="58">AF127*1.22</f>
        <v>0</v>
      </c>
    </row>
    <row r="129" spans="21:32" ht="15.75" thickBot="1" x14ac:dyDescent="0.3">
      <c r="X129" s="225"/>
      <c r="Y129" s="225"/>
      <c r="Z129" s="225"/>
      <c r="AA129" s="225"/>
      <c r="AB129" s="225"/>
      <c r="AC129" s="225"/>
      <c r="AD129" s="225"/>
      <c r="AE129" s="225"/>
      <c r="AF129" s="225"/>
    </row>
    <row r="130" spans="21:32" x14ac:dyDescent="0.25">
      <c r="U130" s="1" t="s">
        <v>8</v>
      </c>
      <c r="X130" s="474">
        <f t="shared" ref="X130:AF130" si="59">SUMIFS(X$35:X$93,$G$35:$G$93,$G$98,$P$35:$P$93,$P$99)</f>
        <v>0</v>
      </c>
      <c r="Y130" s="475">
        <f t="shared" si="59"/>
        <v>0</v>
      </c>
      <c r="Z130" s="505">
        <f t="shared" si="59"/>
        <v>0</v>
      </c>
      <c r="AA130" s="474">
        <f t="shared" si="59"/>
        <v>0</v>
      </c>
      <c r="AB130" s="475">
        <f t="shared" si="59"/>
        <v>0</v>
      </c>
      <c r="AC130" s="476">
        <f t="shared" si="59"/>
        <v>0</v>
      </c>
      <c r="AD130" s="507">
        <f t="shared" si="59"/>
        <v>395500</v>
      </c>
      <c r="AE130" s="475">
        <f t="shared" si="59"/>
        <v>50000</v>
      </c>
      <c r="AF130" s="476">
        <f t="shared" si="59"/>
        <v>100000</v>
      </c>
    </row>
    <row r="131" spans="21:32" ht="15.75" thickBot="1" x14ac:dyDescent="0.3">
      <c r="U131" s="224" t="s">
        <v>180</v>
      </c>
      <c r="X131" s="477">
        <f>X130*1.2</f>
        <v>0</v>
      </c>
      <c r="Y131" s="478">
        <f>Y130</f>
        <v>0</v>
      </c>
      <c r="Z131" s="506">
        <f>Z130*1.2</f>
        <v>0</v>
      </c>
      <c r="AA131" s="477">
        <f>AA130*1.22</f>
        <v>0</v>
      </c>
      <c r="AB131" s="478">
        <f t="shared" ref="AB131" si="60">AB130</f>
        <v>0</v>
      </c>
      <c r="AC131" s="479">
        <f t="shared" ref="AC131" si="61">AC130*1.22</f>
        <v>0</v>
      </c>
      <c r="AD131" s="508">
        <f>AD130*1.22</f>
        <v>482510</v>
      </c>
      <c r="AE131" s="478">
        <f t="shared" ref="AE131" si="62">AE130</f>
        <v>50000</v>
      </c>
      <c r="AF131" s="479">
        <f t="shared" ref="AF131" si="63">AF130*1.22</f>
        <v>122000</v>
      </c>
    </row>
    <row r="132" spans="21:32" ht="15.75" thickBot="1" x14ac:dyDescent="0.3">
      <c r="X132" s="225"/>
      <c r="Y132" s="225"/>
      <c r="Z132" s="225"/>
      <c r="AA132" s="225"/>
      <c r="AB132" s="225"/>
      <c r="AC132" s="225"/>
      <c r="AD132" s="225"/>
      <c r="AE132" s="225"/>
      <c r="AF132" s="225"/>
    </row>
    <row r="133" spans="21:32" x14ac:dyDescent="0.25">
      <c r="U133" s="1" t="s">
        <v>187</v>
      </c>
      <c r="X133" s="474">
        <f t="shared" ref="X133:AF133" si="64">SUMIFS(X$35:X$93,$G$35:$G$93,$G$99,$P$35:$P$93,$P$99)</f>
        <v>0</v>
      </c>
      <c r="Y133" s="475">
        <f t="shared" si="64"/>
        <v>0</v>
      </c>
      <c r="Z133" s="505">
        <f t="shared" si="64"/>
        <v>0</v>
      </c>
      <c r="AA133" s="474">
        <f t="shared" si="64"/>
        <v>0</v>
      </c>
      <c r="AB133" s="475">
        <f t="shared" si="64"/>
        <v>0</v>
      </c>
      <c r="AC133" s="476">
        <f t="shared" si="64"/>
        <v>0</v>
      </c>
      <c r="AD133" s="507">
        <f t="shared" si="64"/>
        <v>0</v>
      </c>
      <c r="AE133" s="475">
        <f t="shared" si="64"/>
        <v>0</v>
      </c>
      <c r="AF133" s="476">
        <f t="shared" si="64"/>
        <v>0</v>
      </c>
    </row>
    <row r="134" spans="21:32" ht="15.75" thickBot="1" x14ac:dyDescent="0.3">
      <c r="U134" s="224" t="s">
        <v>180</v>
      </c>
      <c r="X134" s="477">
        <f>X133*1.2</f>
        <v>0</v>
      </c>
      <c r="Y134" s="478">
        <f>Y133</f>
        <v>0</v>
      </c>
      <c r="Z134" s="506">
        <f>Z133*1.2</f>
        <v>0</v>
      </c>
      <c r="AA134" s="477">
        <f>AA133*1.22</f>
        <v>0</v>
      </c>
      <c r="AB134" s="478">
        <f t="shared" ref="AB134" si="65">AB133</f>
        <v>0</v>
      </c>
      <c r="AC134" s="479">
        <f t="shared" ref="AC134" si="66">AC133*1.22</f>
        <v>0</v>
      </c>
      <c r="AD134" s="508">
        <f>AD133*1.22</f>
        <v>0</v>
      </c>
      <c r="AE134" s="478">
        <f t="shared" ref="AE134" si="67">AE133</f>
        <v>0</v>
      </c>
      <c r="AF134" s="479">
        <f t="shared" ref="AF134" si="68">AF133*1.22</f>
        <v>0</v>
      </c>
    </row>
    <row r="135" spans="21:32" ht="15.75" thickBot="1" x14ac:dyDescent="0.3">
      <c r="X135" s="225"/>
      <c r="Y135" s="225"/>
      <c r="Z135" s="225"/>
      <c r="AA135" s="225"/>
      <c r="AB135" s="225"/>
      <c r="AC135" s="225"/>
      <c r="AD135" s="225"/>
      <c r="AE135" s="225"/>
      <c r="AF135" s="225"/>
    </row>
    <row r="136" spans="21:32" x14ac:dyDescent="0.25">
      <c r="U136" s="1" t="s">
        <v>10</v>
      </c>
      <c r="X136" s="474">
        <f t="shared" ref="X136:AF136" si="69">SUMIFS(X$35:X$93,$G$35:$G$93,$G$100,$P$35:$P$93,$P$99)</f>
        <v>0</v>
      </c>
      <c r="Y136" s="475">
        <f t="shared" si="69"/>
        <v>0</v>
      </c>
      <c r="Z136" s="505">
        <f t="shared" si="69"/>
        <v>0</v>
      </c>
      <c r="AA136" s="474">
        <f t="shared" si="69"/>
        <v>0</v>
      </c>
      <c r="AB136" s="475">
        <f t="shared" si="69"/>
        <v>0</v>
      </c>
      <c r="AC136" s="476">
        <f t="shared" si="69"/>
        <v>60000</v>
      </c>
      <c r="AD136" s="507">
        <f t="shared" si="69"/>
        <v>0</v>
      </c>
      <c r="AE136" s="475">
        <f t="shared" si="69"/>
        <v>0</v>
      </c>
      <c r="AF136" s="476">
        <f t="shared" si="69"/>
        <v>40000</v>
      </c>
    </row>
    <row r="137" spans="21:32" ht="15.75" thickBot="1" x14ac:dyDescent="0.3">
      <c r="U137" s="224" t="s">
        <v>180</v>
      </c>
      <c r="X137" s="477">
        <f>X136*1.2</f>
        <v>0</v>
      </c>
      <c r="Y137" s="478">
        <f>Y136</f>
        <v>0</v>
      </c>
      <c r="Z137" s="506">
        <f>Z136*1.2</f>
        <v>0</v>
      </c>
      <c r="AA137" s="477">
        <f>AA136*1.22</f>
        <v>0</v>
      </c>
      <c r="AB137" s="478">
        <f t="shared" ref="AB137" si="70">AB136</f>
        <v>0</v>
      </c>
      <c r="AC137" s="479">
        <f t="shared" ref="AC137" si="71">AC136*1.22</f>
        <v>73200</v>
      </c>
      <c r="AD137" s="508">
        <f>AD136*1.22</f>
        <v>0</v>
      </c>
      <c r="AE137" s="478">
        <f t="shared" ref="AE137" si="72">AE136</f>
        <v>0</v>
      </c>
      <c r="AF137" s="479">
        <f t="shared" ref="AF137" si="73">AF136*1.22</f>
        <v>48800</v>
      </c>
    </row>
  </sheetData>
  <sheetProtection algorithmName="SHA-512" hashValue="B3YKSTekQW16KTi3ljOqrPB/mhjZ7ibYqMEDWxEAwlmJqS/iFc+HwhlJJ402ydKlOBZM4ID5XTX5cVHkVbKYjA==" saltValue="Xj41LgUoqmVg62QlDFAA3w==" spinCount="100000" sheet="1" objects="1" scenarios="1" selectLockedCells="1" selectUnlockedCells="1"/>
  <autoFilter ref="A33:AR95" xr:uid="{26F4B7B0-4764-496D-9313-E7C884B0D6FB}">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autoFilter>
  <mergeCells count="22">
    <mergeCell ref="B2:E2"/>
    <mergeCell ref="G2:K2"/>
    <mergeCell ref="R34:W34"/>
    <mergeCell ref="K26:R26"/>
    <mergeCell ref="K19:R19"/>
    <mergeCell ref="K22:R22"/>
    <mergeCell ref="K25:R25"/>
    <mergeCell ref="K28:R28"/>
    <mergeCell ref="AM33:AO33"/>
    <mergeCell ref="X33:Z33"/>
    <mergeCell ref="AA33:AC33"/>
    <mergeCell ref="AD33:AF33"/>
    <mergeCell ref="AG33:AI33"/>
    <mergeCell ref="AJ33:AL33"/>
    <mergeCell ref="X32:AO32"/>
    <mergeCell ref="B17:I17"/>
    <mergeCell ref="B20:I20"/>
    <mergeCell ref="B26:I26"/>
    <mergeCell ref="B23:I23"/>
    <mergeCell ref="K20:R20"/>
    <mergeCell ref="K23:R23"/>
    <mergeCell ref="K17:R17"/>
  </mergeCells>
  <phoneticPr fontId="7" type="noConversion"/>
  <dataValidations count="9">
    <dataValidation type="list" allowBlank="1" showInputMessage="1" showErrorMessage="1" sqref="P118:P150 N117 O116 P31:P32" xr:uid="{258C40CF-7ED3-46AD-9DBE-9E35B6A83AF2}">
      <formula1>$R$19:$R$22</formula1>
    </dataValidation>
    <dataValidation type="list" allowBlank="1" showInputMessage="1" showErrorMessage="1" sqref="F117:F151 F31:F32" xr:uid="{6788E54C-2BD5-4096-85C2-888BADA7E1F2}">
      <formula1>$H$3:$K$3</formula1>
    </dataValidation>
    <dataValidation type="list" allowBlank="1" showInputMessage="1" showErrorMessage="1" sqref="P35:P94" xr:uid="{D3E718C6-7AB1-4871-9C15-0A5014791696}">
      <formula1>$P$97:$P$103</formula1>
    </dataValidation>
    <dataValidation type="list" allowBlank="1" showInputMessage="1" showErrorMessage="1" sqref="E35:E94" xr:uid="{4537B685-D58B-48A6-A09A-6E7B0652C7B9}">
      <formula1>$E$97:$E$99</formula1>
    </dataValidation>
    <dataValidation type="list" allowBlank="1" showInputMessage="1" showErrorMessage="1" sqref="F35:F94" xr:uid="{EA197172-5E41-4726-AB9F-2F1BADFCFFAC}">
      <formula1>$F$97:$F$115</formula1>
    </dataValidation>
    <dataValidation type="list" allowBlank="1" showInputMessage="1" showErrorMessage="1" sqref="G35:G94" xr:uid="{58A20634-86BF-47AA-9970-DA930862660F}">
      <formula1>$G$97:$G$100</formula1>
    </dataValidation>
    <dataValidation type="list" allowBlank="1" showInputMessage="1" showErrorMessage="1" sqref="AQ35:AQ94" xr:uid="{63C0EE7F-3A35-4E09-8468-E4CA0CE5603D}">
      <formula1>$AQ$97:$AQ$101</formula1>
    </dataValidation>
    <dataValidation type="whole" allowBlank="1" showInputMessage="1" showErrorMessage="1" sqref="B19:I19" xr:uid="{BAA790B2-6BD4-4790-8148-61FF4AD6D1D3}">
      <formula1>0</formula1>
      <formula2>10000000</formula2>
    </dataValidation>
    <dataValidation type="whole" allowBlank="1" showInputMessage="1" showErrorMessage="1" sqref="B22:I22 B25:I25 C28:I28" xr:uid="{0E4C4795-2F7F-4DAE-BFF4-DE195B193D65}">
      <formula1>0</formula1>
      <formula2>100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1F729-9D90-42B6-8314-2527032805E7}">
  <sheetPr codeName="Leht2"/>
  <dimension ref="A1:AV117"/>
  <sheetViews>
    <sheetView topLeftCell="A34" zoomScale="85" zoomScaleNormal="85" workbookViewId="0">
      <selection activeCell="B26" sqref="B26:I26"/>
    </sheetView>
  </sheetViews>
  <sheetFormatPr defaultRowHeight="15" customHeight="1" x14ac:dyDescent="0.25"/>
  <cols>
    <col min="1" max="1" width="21.28515625" customWidth="1"/>
    <col min="2" max="2" width="15" customWidth="1"/>
    <col min="3" max="4" width="14.140625" customWidth="1"/>
    <col min="5" max="5" width="16.7109375" customWidth="1"/>
    <col min="6" max="6" width="18.5703125" customWidth="1"/>
    <col min="7" max="7" width="14.140625" customWidth="1"/>
    <col min="8" max="8" width="11.7109375" customWidth="1"/>
    <col min="9" max="9" width="20.28515625" customWidth="1"/>
    <col min="10" max="10" width="25.28515625" style="3" customWidth="1"/>
    <col min="11" max="11" width="42" customWidth="1"/>
    <col min="12" max="12" width="12" hidden="1" customWidth="1"/>
    <col min="13" max="13" width="14.28515625" hidden="1" customWidth="1"/>
    <col min="14" max="14" width="12.28515625" customWidth="1"/>
    <col min="16" max="16" width="14.85546875" bestFit="1" customWidth="1"/>
    <col min="17" max="17" width="9.140625" customWidth="1"/>
    <col min="18" max="21" width="13.140625" customWidth="1"/>
    <col min="22" max="24" width="9.140625" customWidth="1"/>
    <col min="25" max="25" width="11" bestFit="1" customWidth="1"/>
    <col min="26" max="36" width="10.140625" customWidth="1"/>
    <col min="37" max="37" width="40.28515625" customWidth="1"/>
    <col min="38" max="38" width="37" customWidth="1"/>
    <col min="39" max="39" width="60.7109375" customWidth="1"/>
    <col min="40" max="40" width="9.140625" customWidth="1"/>
    <col min="41" max="42" width="10.140625" bestFit="1" customWidth="1"/>
    <col min="43" max="43" width="10.7109375" customWidth="1"/>
    <col min="44" max="44" width="73.5703125" customWidth="1"/>
  </cols>
  <sheetData>
    <row r="1" spans="1:11" x14ac:dyDescent="0.25">
      <c r="A1" s="381" t="s">
        <v>198</v>
      </c>
      <c r="B1" s="330"/>
      <c r="C1" s="170"/>
      <c r="D1" s="170"/>
      <c r="E1" s="8"/>
      <c r="F1" s="331"/>
      <c r="G1" s="331"/>
      <c r="H1" s="331"/>
      <c r="I1" s="8"/>
    </row>
    <row r="2" spans="1:11" ht="30.75" customHeight="1" x14ac:dyDescent="0.25">
      <c r="A2" s="7" t="s">
        <v>1</v>
      </c>
      <c r="B2" s="606" t="s">
        <v>2</v>
      </c>
      <c r="C2" s="606"/>
      <c r="D2" s="606"/>
      <c r="E2" s="8"/>
      <c r="F2" s="8"/>
      <c r="G2" s="8"/>
      <c r="H2" s="8"/>
      <c r="I2" s="8"/>
      <c r="J2" s="4"/>
    </row>
    <row r="3" spans="1:11" x14ac:dyDescent="0.25">
      <c r="A3" s="11" t="s">
        <v>4</v>
      </c>
      <c r="B3" s="12" t="s">
        <v>199</v>
      </c>
      <c r="C3" s="13">
        <v>2023</v>
      </c>
      <c r="D3" s="13">
        <v>2024</v>
      </c>
      <c r="E3" s="8"/>
      <c r="F3" s="8"/>
      <c r="G3" s="8"/>
      <c r="H3" s="8"/>
      <c r="I3" s="8"/>
      <c r="J3" s="4"/>
      <c r="K3" s="3"/>
    </row>
    <row r="4" spans="1:11" x14ac:dyDescent="0.25">
      <c r="A4" s="5" t="s">
        <v>11</v>
      </c>
      <c r="B4" s="9">
        <f>SUM(C4:D4)</f>
        <v>1547118</v>
      </c>
      <c r="C4" s="9">
        <f>SUM(C5+C12)</f>
        <v>190218</v>
      </c>
      <c r="D4" s="9">
        <f>SUM(D5+D12)</f>
        <v>1356900</v>
      </c>
      <c r="E4" s="8"/>
      <c r="F4" s="8"/>
      <c r="G4" s="8"/>
      <c r="H4" s="8"/>
      <c r="I4" s="8"/>
      <c r="J4" s="4"/>
      <c r="K4" s="4"/>
    </row>
    <row r="5" spans="1:11" ht="15.75" x14ac:dyDescent="0.25">
      <c r="A5" s="5" t="s">
        <v>12</v>
      </c>
      <c r="B5" s="9">
        <f>SUM(C5:D5)</f>
        <v>212000</v>
      </c>
      <c r="C5" s="9">
        <f>SUM(C6:C11)</f>
        <v>150000</v>
      </c>
      <c r="D5" s="9">
        <f>SUM(D6:D11)</f>
        <v>62000</v>
      </c>
      <c r="E5" s="16"/>
      <c r="F5" s="8"/>
      <c r="G5" s="8"/>
      <c r="H5" s="8"/>
      <c r="I5" s="8"/>
      <c r="J5" s="4"/>
    </row>
    <row r="6" spans="1:11" x14ac:dyDescent="0.25">
      <c r="A6" s="30" t="s">
        <v>13</v>
      </c>
      <c r="B6" s="17">
        <f t="shared" ref="B6:B14" si="0">SUM(C6:D6)</f>
        <v>212000</v>
      </c>
      <c r="C6" s="18">
        <f>SUMIFS(Q35:Q94,O35:O94,"Baaseelarve")</f>
        <v>150000</v>
      </c>
      <c r="D6" s="18">
        <f>SUMIFS(R35:R94,O35:O94,"Baaseelarve")</f>
        <v>62000</v>
      </c>
      <c r="E6" s="10"/>
      <c r="F6" s="8"/>
      <c r="G6" s="8"/>
      <c r="H6" s="8"/>
      <c r="I6" s="8"/>
      <c r="J6" s="4"/>
    </row>
    <row r="7" spans="1:11" x14ac:dyDescent="0.25">
      <c r="A7" s="30" t="s">
        <v>14</v>
      </c>
      <c r="B7" s="17">
        <f t="shared" si="0"/>
        <v>0</v>
      </c>
      <c r="C7" s="18">
        <f>SUMIFS(Q35:Q94,O35:O94,"Muu rahastus")</f>
        <v>0</v>
      </c>
      <c r="D7" s="18">
        <f>SUMIFS(R35:R94,O35:O94,"Muu rahastus")</f>
        <v>0</v>
      </c>
      <c r="E7" s="10"/>
      <c r="F7" s="8"/>
      <c r="G7" s="8"/>
      <c r="H7" s="8"/>
      <c r="I7" s="8"/>
      <c r="J7" s="4"/>
    </row>
    <row r="8" spans="1:11" x14ac:dyDescent="0.25">
      <c r="A8" s="30" t="s">
        <v>15</v>
      </c>
      <c r="B8" s="17">
        <f t="shared" si="0"/>
        <v>0</v>
      </c>
      <c r="C8" s="18">
        <f>SUMIFS(Q35:Q94,O35:O94,"Reserv (SR)")</f>
        <v>0</v>
      </c>
      <c r="D8" s="18">
        <f>SUMIFS(R35:R94,O35:O94,"Reserv (SR)")</f>
        <v>0</v>
      </c>
      <c r="E8" s="10"/>
      <c r="F8" s="8"/>
      <c r="G8" s="8"/>
      <c r="H8" s="8"/>
      <c r="I8" s="8"/>
      <c r="J8" s="4"/>
    </row>
    <row r="9" spans="1:11" hidden="1" x14ac:dyDescent="0.25">
      <c r="A9" s="30" t="s">
        <v>16</v>
      </c>
      <c r="B9" s="17">
        <f t="shared" si="0"/>
        <v>0</v>
      </c>
      <c r="C9" s="18">
        <f>SUMIFS(Q35:Q94,O35:O94,"RRF")</f>
        <v>0</v>
      </c>
      <c r="D9" s="18">
        <f>SUMIFS(R35:R94,O35:O94,"RRF")</f>
        <v>0</v>
      </c>
      <c r="E9" s="10"/>
      <c r="F9" s="8"/>
      <c r="G9" s="8"/>
      <c r="H9" s="8"/>
      <c r="I9" s="8"/>
      <c r="J9" s="4"/>
    </row>
    <row r="10" spans="1:11" x14ac:dyDescent="0.25">
      <c r="A10" s="30" t="s">
        <v>17</v>
      </c>
      <c r="B10" s="17">
        <f t="shared" si="0"/>
        <v>0</v>
      </c>
      <c r="C10" s="18">
        <f>SUMIFS(Q35:Q94,O35:O94,"SF 14-20 (töös olev projekt)")</f>
        <v>0</v>
      </c>
      <c r="D10" s="18">
        <f>SUMIFS(R35:R94,O35:O94,"SF 14-20 (töös olev projekt)")</f>
        <v>0</v>
      </c>
      <c r="E10" s="10"/>
      <c r="F10" s="8"/>
      <c r="G10" s="8"/>
      <c r="H10" s="8"/>
      <c r="I10" s="8"/>
      <c r="J10" s="4"/>
    </row>
    <row r="11" spans="1:11" x14ac:dyDescent="0.25">
      <c r="A11" s="30" t="s">
        <v>18</v>
      </c>
      <c r="B11" s="17">
        <f>SUM(C11:D11)</f>
        <v>0</v>
      </c>
      <c r="C11" s="18"/>
      <c r="D11" s="18"/>
      <c r="E11" s="10"/>
      <c r="F11" s="8"/>
      <c r="G11" s="8"/>
      <c r="H11" s="8"/>
      <c r="I11" s="8"/>
      <c r="J11" s="4"/>
    </row>
    <row r="12" spans="1:11" x14ac:dyDescent="0.25">
      <c r="A12" s="5" t="s">
        <v>19</v>
      </c>
      <c r="B12" s="9">
        <f t="shared" si="0"/>
        <v>1335118</v>
      </c>
      <c r="C12" s="9">
        <f>SUM(C13:C14)</f>
        <v>40218</v>
      </c>
      <c r="D12" s="9">
        <f>SUM(D13:D14)</f>
        <v>1294900</v>
      </c>
      <c r="E12" s="10"/>
      <c r="F12" s="8"/>
      <c r="G12" s="8"/>
      <c r="H12" s="8"/>
      <c r="I12" s="8"/>
      <c r="J12" s="4"/>
    </row>
    <row r="13" spans="1:11" x14ac:dyDescent="0.25">
      <c r="A13" s="30" t="s">
        <v>20</v>
      </c>
      <c r="B13" s="17">
        <f t="shared" si="0"/>
        <v>605500</v>
      </c>
      <c r="C13" s="18">
        <f>SUMIFS(Q35:Q95,O35:O95,"RES IKT (vaja juurde taotleda)")</f>
        <v>0</v>
      </c>
      <c r="D13" s="18">
        <f>SUMIFS(R35:R95,O35:O95,"RES IKT (vaja juurde taotleda)")</f>
        <v>605500</v>
      </c>
      <c r="E13" s="10" t="s">
        <v>200</v>
      </c>
      <c r="F13" s="8"/>
      <c r="G13" s="8"/>
      <c r="H13" s="8"/>
      <c r="I13" s="8"/>
      <c r="J13" s="4"/>
    </row>
    <row r="14" spans="1:11" x14ac:dyDescent="0.25">
      <c r="A14" s="30" t="s">
        <v>22</v>
      </c>
      <c r="B14" s="17">
        <f t="shared" si="0"/>
        <v>729618</v>
      </c>
      <c r="C14" s="18">
        <f>SUMIFS(Q35:Q94,O35:O94,"SF 21-27 (taotletav raha)")</f>
        <v>40218</v>
      </c>
      <c r="D14" s="18">
        <f>SUMIFS(R35:R94,O35:O94,"SF 21-27 (taotletav raha)")</f>
        <v>689400</v>
      </c>
      <c r="E14" s="10"/>
      <c r="F14" s="8"/>
      <c r="G14" s="8"/>
      <c r="H14" s="8"/>
      <c r="I14" s="8"/>
      <c r="J14" s="4"/>
    </row>
    <row r="15" spans="1:11" x14ac:dyDescent="0.25">
      <c r="A15" s="6"/>
      <c r="B15" s="6"/>
      <c r="C15" s="6"/>
      <c r="D15" s="6"/>
      <c r="E15" s="6"/>
      <c r="F15" s="6"/>
      <c r="G15" s="6"/>
      <c r="H15" s="6"/>
      <c r="I15" s="6"/>
    </row>
    <row r="16" spans="1:11" ht="15.75" thickBot="1" x14ac:dyDescent="0.3">
      <c r="A16" s="10" t="s">
        <v>24</v>
      </c>
      <c r="B16" s="6"/>
      <c r="C16" s="6"/>
      <c r="D16" s="6"/>
      <c r="E16" s="6"/>
      <c r="F16" s="6"/>
      <c r="G16" s="6"/>
      <c r="H16" s="6"/>
      <c r="I16" s="6"/>
    </row>
    <row r="17" spans="1:44" ht="29.1" customHeight="1" thickBot="1" x14ac:dyDescent="0.3">
      <c r="A17" s="51" t="s">
        <v>25</v>
      </c>
      <c r="B17" s="590" t="s">
        <v>26</v>
      </c>
      <c r="C17" s="590"/>
      <c r="D17" s="590"/>
      <c r="E17" s="590"/>
      <c r="F17" s="590"/>
      <c r="G17" s="590"/>
      <c r="H17" s="590"/>
      <c r="I17" s="590"/>
      <c r="J17" s="351" t="s">
        <v>27</v>
      </c>
      <c r="K17" s="633" t="s">
        <v>28</v>
      </c>
      <c r="L17" s="634"/>
      <c r="M17" s="634"/>
      <c r="N17" s="634"/>
      <c r="O17" s="634"/>
      <c r="P17" s="634"/>
      <c r="Q17" s="635"/>
    </row>
    <row r="18" spans="1:44" ht="30" x14ac:dyDescent="0.25">
      <c r="A18" s="52" t="s">
        <v>201</v>
      </c>
      <c r="B18" s="106" t="s">
        <v>30</v>
      </c>
      <c r="C18" s="107" t="s">
        <v>31</v>
      </c>
      <c r="D18" s="107" t="s">
        <v>32</v>
      </c>
      <c r="E18" s="107" t="s">
        <v>33</v>
      </c>
      <c r="F18" s="107" t="s">
        <v>34</v>
      </c>
      <c r="G18" s="107" t="s">
        <v>35</v>
      </c>
      <c r="H18" s="107" t="s">
        <v>36</v>
      </c>
      <c r="I18" s="205" t="s">
        <v>37</v>
      </c>
      <c r="J18" s="352"/>
      <c r="K18" s="353"/>
      <c r="L18" s="354"/>
      <c r="M18" s="354"/>
      <c r="N18" s="354"/>
      <c r="O18" s="354"/>
      <c r="P18" s="354"/>
      <c r="Q18" s="355"/>
    </row>
    <row r="19" spans="1:44" ht="15.75" thickBot="1" x14ac:dyDescent="0.3">
      <c r="A19" s="53" t="s">
        <v>202</v>
      </c>
      <c r="B19" s="292">
        <v>0</v>
      </c>
      <c r="C19" s="502"/>
      <c r="D19" s="502"/>
      <c r="E19" s="502"/>
      <c r="F19" s="502"/>
      <c r="G19" s="502"/>
      <c r="H19" s="502"/>
      <c r="I19" s="503">
        <v>250000</v>
      </c>
      <c r="J19" s="323"/>
      <c r="K19" s="626" t="s">
        <v>39</v>
      </c>
      <c r="L19" s="614"/>
      <c r="M19" s="614"/>
      <c r="N19" s="614"/>
      <c r="O19" s="614"/>
      <c r="P19" s="614"/>
      <c r="Q19" s="627"/>
    </row>
    <row r="20" spans="1:44" ht="29.1" customHeight="1" x14ac:dyDescent="0.25">
      <c r="A20" s="51" t="s">
        <v>40</v>
      </c>
      <c r="B20" s="592" t="s">
        <v>41</v>
      </c>
      <c r="C20" s="592"/>
      <c r="D20" s="592"/>
      <c r="E20" s="592"/>
      <c r="F20" s="592"/>
      <c r="G20" s="592"/>
      <c r="H20" s="592"/>
      <c r="I20" s="592"/>
      <c r="J20" s="356"/>
      <c r="K20" s="628" t="s">
        <v>42</v>
      </c>
      <c r="L20" s="598"/>
      <c r="M20" s="598"/>
      <c r="N20" s="598"/>
      <c r="O20" s="598"/>
      <c r="P20" s="598"/>
      <c r="Q20" s="629"/>
    </row>
    <row r="21" spans="1:44" ht="30" x14ac:dyDescent="0.25">
      <c r="A21" s="52" t="s">
        <v>201</v>
      </c>
      <c r="B21" s="106" t="s">
        <v>30</v>
      </c>
      <c r="C21" s="107" t="s">
        <v>31</v>
      </c>
      <c r="D21" s="107" t="s">
        <v>32</v>
      </c>
      <c r="E21" s="107" t="s">
        <v>33</v>
      </c>
      <c r="F21" s="107" t="s">
        <v>34</v>
      </c>
      <c r="G21" s="107" t="s">
        <v>35</v>
      </c>
      <c r="H21" s="107" t="s">
        <v>36</v>
      </c>
      <c r="I21" s="205" t="s">
        <v>37</v>
      </c>
      <c r="J21" s="352"/>
      <c r="K21" s="357"/>
      <c r="Q21" s="66"/>
    </row>
    <row r="22" spans="1:44" x14ac:dyDescent="0.25">
      <c r="A22" s="53" t="s">
        <v>202</v>
      </c>
      <c r="B22" s="292">
        <v>0</v>
      </c>
      <c r="C22" s="502"/>
      <c r="D22" s="502"/>
      <c r="E22" s="502"/>
      <c r="F22" s="502"/>
      <c r="G22" s="502"/>
      <c r="H22" s="502"/>
      <c r="I22" s="503">
        <v>10</v>
      </c>
      <c r="J22" s="323"/>
      <c r="K22" s="626" t="s">
        <v>43</v>
      </c>
      <c r="L22" s="614"/>
      <c r="M22" s="614"/>
      <c r="N22" s="614"/>
      <c r="O22" s="614"/>
      <c r="P22" s="614"/>
      <c r="Q22" s="627"/>
    </row>
    <row r="23" spans="1:44" ht="29.1" customHeight="1" x14ac:dyDescent="0.25">
      <c r="A23" s="51" t="s">
        <v>40</v>
      </c>
      <c r="B23" s="592" t="s">
        <v>44</v>
      </c>
      <c r="C23" s="592"/>
      <c r="D23" s="592"/>
      <c r="E23" s="592"/>
      <c r="F23" s="592"/>
      <c r="G23" s="592"/>
      <c r="H23" s="592"/>
      <c r="I23" s="592"/>
      <c r="J23" s="356"/>
      <c r="K23" s="628" t="s">
        <v>45</v>
      </c>
      <c r="L23" s="598"/>
      <c r="M23" s="598"/>
      <c r="N23" s="598"/>
      <c r="O23" s="598"/>
      <c r="P23" s="598"/>
      <c r="Q23" s="629"/>
    </row>
    <row r="24" spans="1:44" ht="30" x14ac:dyDescent="0.25">
      <c r="A24" s="52" t="s">
        <v>201</v>
      </c>
      <c r="B24" s="106" t="s">
        <v>30</v>
      </c>
      <c r="C24" s="107" t="s">
        <v>31</v>
      </c>
      <c r="D24" s="107" t="s">
        <v>32</v>
      </c>
      <c r="E24" s="107" t="s">
        <v>33</v>
      </c>
      <c r="F24" s="107" t="s">
        <v>34</v>
      </c>
      <c r="G24" s="107" t="s">
        <v>35</v>
      </c>
      <c r="H24" s="107" t="s">
        <v>36</v>
      </c>
      <c r="I24" s="205" t="s">
        <v>37</v>
      </c>
      <c r="J24" s="352"/>
      <c r="K24" s="357"/>
      <c r="Q24" s="66"/>
    </row>
    <row r="25" spans="1:44" x14ac:dyDescent="0.25">
      <c r="A25" s="53" t="s">
        <v>202</v>
      </c>
      <c r="B25" s="292">
        <v>0</v>
      </c>
      <c r="C25" s="502"/>
      <c r="D25" s="502"/>
      <c r="E25" s="502"/>
      <c r="F25" s="502"/>
      <c r="G25" s="502"/>
      <c r="H25" s="502"/>
      <c r="I25" s="503">
        <v>1</v>
      </c>
      <c r="J25" s="323"/>
      <c r="K25" s="626" t="s">
        <v>46</v>
      </c>
      <c r="L25" s="614"/>
      <c r="M25" s="614"/>
      <c r="N25" s="614"/>
      <c r="O25" s="614"/>
      <c r="P25" s="614"/>
      <c r="Q25" s="627"/>
    </row>
    <row r="26" spans="1:44" ht="75" x14ac:dyDescent="0.25">
      <c r="A26" s="51" t="s">
        <v>47</v>
      </c>
      <c r="B26" s="592" t="s">
        <v>48</v>
      </c>
      <c r="C26" s="592"/>
      <c r="D26" s="592"/>
      <c r="E26" s="592"/>
      <c r="F26" s="592"/>
      <c r="G26" s="592"/>
      <c r="H26" s="592"/>
      <c r="I26" s="592"/>
      <c r="J26" s="356"/>
      <c r="K26" s="628" t="s">
        <v>49</v>
      </c>
      <c r="L26" s="598"/>
      <c r="M26" s="598"/>
      <c r="N26" s="598"/>
      <c r="O26" s="598"/>
      <c r="P26" s="598"/>
      <c r="Q26" s="629"/>
    </row>
    <row r="27" spans="1:44" ht="30.75" customHeight="1" x14ac:dyDescent="0.25">
      <c r="A27" s="52" t="s">
        <v>201</v>
      </c>
      <c r="B27" s="106" t="s">
        <v>30</v>
      </c>
      <c r="C27" s="107" t="s">
        <v>31</v>
      </c>
      <c r="D27" s="107" t="s">
        <v>32</v>
      </c>
      <c r="E27" s="107" t="s">
        <v>33</v>
      </c>
      <c r="F27" s="107" t="s">
        <v>34</v>
      </c>
      <c r="G27" s="107" t="s">
        <v>35</v>
      </c>
      <c r="H27" s="107" t="s">
        <v>36</v>
      </c>
      <c r="I27" s="205" t="s">
        <v>37</v>
      </c>
      <c r="J27" s="352"/>
      <c r="K27" s="357"/>
      <c r="Q27" s="66"/>
    </row>
    <row r="28" spans="1:44" x14ac:dyDescent="0.25">
      <c r="A28" s="53" t="s">
        <v>203</v>
      </c>
      <c r="B28" s="292">
        <v>0</v>
      </c>
      <c r="C28" s="502"/>
      <c r="D28" s="502"/>
      <c r="E28" s="502"/>
      <c r="F28" s="502"/>
      <c r="G28" s="502"/>
      <c r="H28" s="502"/>
      <c r="I28" s="504">
        <v>0.9</v>
      </c>
      <c r="J28" s="323"/>
      <c r="K28" s="626" t="s">
        <v>50</v>
      </c>
      <c r="L28" s="614"/>
      <c r="M28" s="614"/>
      <c r="N28" s="614"/>
      <c r="O28" s="614"/>
      <c r="P28" s="614"/>
      <c r="Q28" s="627"/>
    </row>
    <row r="29" spans="1:44" x14ac:dyDescent="0.25">
      <c r="A29" s="3"/>
      <c r="B29" s="3"/>
      <c r="C29" s="1"/>
      <c r="D29" s="1"/>
      <c r="E29" s="1"/>
      <c r="F29" s="1"/>
      <c r="G29" s="1"/>
      <c r="H29" s="1"/>
      <c r="I29" s="1"/>
    </row>
    <row r="31" spans="1:44" x14ac:dyDescent="0.25">
      <c r="C31" s="2"/>
      <c r="D31" s="2"/>
    </row>
    <row r="32" spans="1:44" ht="15.75" thickBot="1" x14ac:dyDescent="0.3">
      <c r="A32" s="1"/>
      <c r="B32" s="1"/>
      <c r="C32" s="73"/>
      <c r="D32" s="73"/>
      <c r="E32" s="1"/>
      <c r="F32" s="1"/>
      <c r="G32" s="1"/>
      <c r="H32" s="1"/>
      <c r="I32" s="1"/>
      <c r="K32" s="1"/>
      <c r="L32" s="1"/>
      <c r="M32" s="1"/>
      <c r="N32" s="1"/>
      <c r="O32" s="1"/>
      <c r="P32" s="1"/>
      <c r="Q32" s="1"/>
      <c r="R32" s="1"/>
      <c r="S32" s="1"/>
      <c r="T32" s="1"/>
      <c r="U32" s="1"/>
      <c r="V32" s="630" t="s">
        <v>51</v>
      </c>
      <c r="W32" s="630"/>
      <c r="X32" s="630"/>
      <c r="Y32" s="631"/>
      <c r="Z32" s="631"/>
      <c r="AA32" s="631"/>
      <c r="AB32" s="631"/>
      <c r="AC32" s="631"/>
      <c r="AD32" s="631"/>
      <c r="AE32" s="631"/>
      <c r="AF32" s="631"/>
      <c r="AG32" s="631"/>
      <c r="AH32" s="631"/>
      <c r="AI32" s="631"/>
      <c r="AJ32" s="632"/>
      <c r="AK32" s="1"/>
      <c r="AL32" s="1"/>
      <c r="AM32" s="1"/>
      <c r="AN32" s="1"/>
      <c r="AO32" s="621" t="s">
        <v>51</v>
      </c>
      <c r="AP32" s="622"/>
      <c r="AQ32" s="623"/>
      <c r="AR32" s="1"/>
    </row>
    <row r="33" spans="1:48" ht="45" x14ac:dyDescent="0.25">
      <c r="A33" s="23" t="s">
        <v>52</v>
      </c>
      <c r="B33" s="358" t="s">
        <v>53</v>
      </c>
      <c r="C33" s="358" t="s">
        <v>54</v>
      </c>
      <c r="D33" s="358" t="s">
        <v>55</v>
      </c>
      <c r="E33" s="358" t="s">
        <v>56</v>
      </c>
      <c r="F33" s="358" t="s">
        <v>204</v>
      </c>
      <c r="G33" s="358" t="s">
        <v>205</v>
      </c>
      <c r="H33" s="358" t="s">
        <v>59</v>
      </c>
      <c r="I33" s="358" t="s">
        <v>60</v>
      </c>
      <c r="J33" s="358" t="s">
        <v>206</v>
      </c>
      <c r="K33" s="359" t="s">
        <v>62</v>
      </c>
      <c r="L33" s="360" t="s">
        <v>64</v>
      </c>
      <c r="M33" s="358" t="s">
        <v>65</v>
      </c>
      <c r="N33" s="358" t="s">
        <v>66</v>
      </c>
      <c r="O33" s="358" t="s">
        <v>67</v>
      </c>
      <c r="P33" s="361" t="s">
        <v>68</v>
      </c>
      <c r="Q33" s="23">
        <v>2023</v>
      </c>
      <c r="R33" s="229">
        <v>2024</v>
      </c>
      <c r="S33" s="229">
        <v>2025</v>
      </c>
      <c r="T33" s="229">
        <v>2026</v>
      </c>
      <c r="U33" s="228">
        <v>2027</v>
      </c>
      <c r="V33" s="603" t="s">
        <v>207</v>
      </c>
      <c r="W33" s="603"/>
      <c r="X33" s="603"/>
      <c r="Y33" s="603">
        <v>2024</v>
      </c>
      <c r="Z33" s="604"/>
      <c r="AA33" s="605"/>
      <c r="AB33" s="603">
        <v>2025</v>
      </c>
      <c r="AC33" s="604"/>
      <c r="AD33" s="605"/>
      <c r="AE33" s="603">
        <v>2026</v>
      </c>
      <c r="AF33" s="604"/>
      <c r="AG33" s="605"/>
      <c r="AH33" s="603">
        <v>2027</v>
      </c>
      <c r="AI33" s="604"/>
      <c r="AJ33" s="604"/>
      <c r="AK33" s="21" t="s">
        <v>208</v>
      </c>
      <c r="AL33" s="22" t="s">
        <v>71</v>
      </c>
      <c r="AM33" s="22" t="s">
        <v>209</v>
      </c>
      <c r="AN33" s="69"/>
      <c r="AO33" s="603" t="s">
        <v>210</v>
      </c>
      <c r="AP33" s="624"/>
      <c r="AQ33" s="625"/>
      <c r="AR33" s="69" t="s">
        <v>211</v>
      </c>
    </row>
    <row r="34" spans="1:48" s="14" customFormat="1" ht="151.5" customHeight="1" thickBot="1" x14ac:dyDescent="0.3">
      <c r="A34" s="362"/>
      <c r="B34" s="363" t="s">
        <v>76</v>
      </c>
      <c r="C34" s="364" t="s">
        <v>212</v>
      </c>
      <c r="D34" s="364" t="s">
        <v>78</v>
      </c>
      <c r="E34" s="365" t="s">
        <v>79</v>
      </c>
      <c r="F34" s="365" t="s">
        <v>79</v>
      </c>
      <c r="G34" s="365" t="s">
        <v>80</v>
      </c>
      <c r="H34" s="364" t="s">
        <v>81</v>
      </c>
      <c r="I34" s="364" t="s">
        <v>82</v>
      </c>
      <c r="J34" s="364" t="s">
        <v>83</v>
      </c>
      <c r="K34" s="364" t="s">
        <v>213</v>
      </c>
      <c r="L34" s="363" t="s">
        <v>86</v>
      </c>
      <c r="M34" s="363" t="s">
        <v>87</v>
      </c>
      <c r="N34" s="366" t="s">
        <v>214</v>
      </c>
      <c r="O34" s="365" t="s">
        <v>79</v>
      </c>
      <c r="P34" s="367"/>
      <c r="Q34" s="611"/>
      <c r="R34" s="612"/>
      <c r="S34" s="612"/>
      <c r="T34" s="612"/>
      <c r="U34" s="613"/>
      <c r="V34" s="338" t="s">
        <v>89</v>
      </c>
      <c r="W34" s="339" t="s">
        <v>90</v>
      </c>
      <c r="X34" s="340" t="s">
        <v>91</v>
      </c>
      <c r="Y34" s="341" t="s">
        <v>89</v>
      </c>
      <c r="Z34" s="339" t="s">
        <v>90</v>
      </c>
      <c r="AA34" s="342" t="s">
        <v>91</v>
      </c>
      <c r="AB34" s="28" t="s">
        <v>89</v>
      </c>
      <c r="AC34" s="25" t="s">
        <v>90</v>
      </c>
      <c r="AD34" s="26" t="s">
        <v>91</v>
      </c>
      <c r="AE34" s="28" t="s">
        <v>89</v>
      </c>
      <c r="AF34" s="25" t="s">
        <v>90</v>
      </c>
      <c r="AG34" s="26" t="s">
        <v>91</v>
      </c>
      <c r="AH34" s="28" t="s">
        <v>89</v>
      </c>
      <c r="AI34" s="25" t="s">
        <v>90</v>
      </c>
      <c r="AJ34" s="27" t="s">
        <v>91</v>
      </c>
      <c r="AK34" s="374" t="s">
        <v>92</v>
      </c>
      <c r="AL34" s="375" t="s">
        <v>79</v>
      </c>
      <c r="AM34" s="375"/>
      <c r="AN34" s="377"/>
      <c r="AO34" s="28" t="s">
        <v>89</v>
      </c>
      <c r="AP34" s="25" t="s">
        <v>90</v>
      </c>
      <c r="AQ34" s="26" t="s">
        <v>91</v>
      </c>
      <c r="AR34" s="70" t="s">
        <v>215</v>
      </c>
      <c r="AV34" s="68"/>
    </row>
    <row r="35" spans="1:48" s="19" customFormat="1" ht="315" x14ac:dyDescent="0.25">
      <c r="A35" s="294" t="s">
        <v>216</v>
      </c>
      <c r="B35" s="294"/>
      <c r="C35" s="294"/>
      <c r="D35" s="296" t="s">
        <v>96</v>
      </c>
      <c r="E35" s="295" t="s">
        <v>97</v>
      </c>
      <c r="F35" s="295" t="s">
        <v>98</v>
      </c>
      <c r="G35" s="295" t="s">
        <v>99</v>
      </c>
      <c r="H35" s="295"/>
      <c r="I35" s="295" t="s">
        <v>100</v>
      </c>
      <c r="J35" s="295" t="s">
        <v>101</v>
      </c>
      <c r="K35" s="295" t="s">
        <v>217</v>
      </c>
      <c r="L35" s="295">
        <v>1</v>
      </c>
      <c r="M35" s="295">
        <v>29</v>
      </c>
      <c r="N35" s="295" t="s">
        <v>104</v>
      </c>
      <c r="O35" s="296" t="s">
        <v>105</v>
      </c>
      <c r="P35" s="278">
        <f t="shared" ref="P35:P66" si="1">SUM(Q35:U35)</f>
        <v>135210</v>
      </c>
      <c r="Q35" s="287">
        <f t="shared" ref="Q35:Q94" si="2">SUM(V35:X35)</f>
        <v>13042</v>
      </c>
      <c r="R35" s="332">
        <f t="shared" ref="R35:R66" si="3">SUM(Y35:AA35)</f>
        <v>122168</v>
      </c>
      <c r="S35" s="332">
        <f t="shared" ref="S35:S66" si="4">SUM(AB35:AD35)</f>
        <v>0</v>
      </c>
      <c r="T35" s="332">
        <f t="shared" ref="T35:T66" si="5">SUM(AE35:AG35)</f>
        <v>0</v>
      </c>
      <c r="U35" s="334">
        <f t="shared" ref="U35:U66" si="6">SUM(AH35:AJ35)</f>
        <v>0</v>
      </c>
      <c r="V35" s="287"/>
      <c r="W35" s="286">
        <f>12042+1000</f>
        <v>13042</v>
      </c>
      <c r="X35" s="344"/>
      <c r="Y35" s="287"/>
      <c r="Z35" s="286">
        <f>48168+4000</f>
        <v>52168</v>
      </c>
      <c r="AA35" s="344">
        <v>70000</v>
      </c>
      <c r="AB35" s="281"/>
      <c r="AC35" s="282"/>
      <c r="AD35" s="284"/>
      <c r="AE35" s="283"/>
      <c r="AF35" s="282"/>
      <c r="AG35" s="284"/>
      <c r="AH35" s="283"/>
      <c r="AI35" s="282"/>
      <c r="AJ35" s="282"/>
      <c r="AK35" s="297" t="s">
        <v>218</v>
      </c>
      <c r="AL35" s="285"/>
      <c r="AM35" s="285"/>
      <c r="AN35" s="378"/>
      <c r="AO35" s="368">
        <v>0</v>
      </c>
      <c r="AP35" s="372">
        <v>0</v>
      </c>
      <c r="AQ35" s="369">
        <v>0</v>
      </c>
      <c r="AR35" s="509" t="s">
        <v>219</v>
      </c>
    </row>
    <row r="36" spans="1:48" s="35" customFormat="1" ht="330" x14ac:dyDescent="0.25">
      <c r="A36" s="294" t="s">
        <v>96</v>
      </c>
      <c r="B36" s="294"/>
      <c r="C36" s="294"/>
      <c r="D36" s="296" t="s">
        <v>96</v>
      </c>
      <c r="E36" s="295" t="s">
        <v>97</v>
      </c>
      <c r="F36" s="295" t="s">
        <v>109</v>
      </c>
      <c r="G36" s="295" t="s">
        <v>110</v>
      </c>
      <c r="H36" s="295"/>
      <c r="I36" s="295" t="s">
        <v>111</v>
      </c>
      <c r="J36" s="295" t="s">
        <v>112</v>
      </c>
      <c r="K36" s="295" t="s">
        <v>220</v>
      </c>
      <c r="L36" s="295">
        <v>4</v>
      </c>
      <c r="M36" s="295">
        <v>30</v>
      </c>
      <c r="N36" s="295"/>
      <c r="O36" s="296" t="s">
        <v>105</v>
      </c>
      <c r="P36" s="278">
        <f t="shared" si="1"/>
        <v>100000</v>
      </c>
      <c r="Q36" s="279">
        <f t="shared" si="2"/>
        <v>0</v>
      </c>
      <c r="R36" s="280">
        <f t="shared" si="3"/>
        <v>100000</v>
      </c>
      <c r="S36" s="280">
        <f t="shared" si="4"/>
        <v>0</v>
      </c>
      <c r="T36" s="280">
        <f t="shared" si="5"/>
        <v>0</v>
      </c>
      <c r="U36" s="281">
        <f t="shared" si="6"/>
        <v>0</v>
      </c>
      <c r="V36" s="345"/>
      <c r="W36" s="290"/>
      <c r="X36" s="302"/>
      <c r="Y36" s="345"/>
      <c r="Z36" s="290"/>
      <c r="AA36" s="302">
        <v>100000</v>
      </c>
      <c r="AB36" s="281"/>
      <c r="AC36" s="282"/>
      <c r="AD36" s="284"/>
      <c r="AE36" s="283"/>
      <c r="AF36" s="282"/>
      <c r="AG36" s="284"/>
      <c r="AH36" s="283"/>
      <c r="AI36" s="282"/>
      <c r="AJ36" s="282"/>
      <c r="AK36" s="297" t="s">
        <v>221</v>
      </c>
      <c r="AL36" s="285"/>
      <c r="AM36" s="285"/>
      <c r="AN36" s="378"/>
      <c r="AO36" s="370">
        <v>0</v>
      </c>
      <c r="AP36" s="253">
        <v>0</v>
      </c>
      <c r="AQ36" s="371">
        <v>0</v>
      </c>
      <c r="AR36" s="439" t="s">
        <v>222</v>
      </c>
    </row>
    <row r="37" spans="1:48" s="35" customFormat="1" ht="300" x14ac:dyDescent="0.25">
      <c r="A37" s="294" t="s">
        <v>96</v>
      </c>
      <c r="B37" s="294"/>
      <c r="C37" s="294"/>
      <c r="D37" s="296" t="s">
        <v>96</v>
      </c>
      <c r="E37" s="295" t="s">
        <v>97</v>
      </c>
      <c r="F37" s="295" t="s">
        <v>109</v>
      </c>
      <c r="G37" s="295" t="s">
        <v>117</v>
      </c>
      <c r="H37" s="295"/>
      <c r="I37" s="295" t="s">
        <v>118</v>
      </c>
      <c r="J37" s="295" t="s">
        <v>119</v>
      </c>
      <c r="K37" s="295" t="s">
        <v>223</v>
      </c>
      <c r="L37" s="295">
        <v>3</v>
      </c>
      <c r="M37" s="295">
        <v>31</v>
      </c>
      <c r="N37" s="295" t="s">
        <v>122</v>
      </c>
      <c r="O37" s="296" t="s">
        <v>105</v>
      </c>
      <c r="P37" s="278">
        <f t="shared" si="1"/>
        <v>304620</v>
      </c>
      <c r="Q37" s="279">
        <f t="shared" si="2"/>
        <v>6930</v>
      </c>
      <c r="R37" s="280">
        <f t="shared" si="3"/>
        <v>297690</v>
      </c>
      <c r="S37" s="280">
        <f t="shared" si="4"/>
        <v>0</v>
      </c>
      <c r="T37" s="280">
        <f t="shared" si="5"/>
        <v>0</v>
      </c>
      <c r="U37" s="281">
        <f t="shared" si="6"/>
        <v>0</v>
      </c>
      <c r="V37" s="345"/>
      <c r="W37" s="290">
        <v>6930</v>
      </c>
      <c r="X37" s="302"/>
      <c r="Y37" s="345">
        <v>270000</v>
      </c>
      <c r="Z37" s="290">
        <f>25690+2000</f>
        <v>27690</v>
      </c>
      <c r="AA37" s="302"/>
      <c r="AB37" s="281"/>
      <c r="AC37" s="282"/>
      <c r="AD37" s="284"/>
      <c r="AE37" s="283"/>
      <c r="AF37" s="282"/>
      <c r="AG37" s="284"/>
      <c r="AH37" s="283"/>
      <c r="AI37" s="282"/>
      <c r="AJ37" s="282"/>
      <c r="AK37" s="297" t="s">
        <v>224</v>
      </c>
      <c r="AL37" s="285"/>
      <c r="AM37" s="285"/>
      <c r="AN37" s="378"/>
      <c r="AO37" s="370">
        <v>0</v>
      </c>
      <c r="AP37" s="253">
        <v>0</v>
      </c>
      <c r="AQ37" s="371">
        <v>0</v>
      </c>
      <c r="AR37" s="439" t="s">
        <v>225</v>
      </c>
    </row>
    <row r="38" spans="1:48" s="35" customFormat="1" ht="375" x14ac:dyDescent="0.25">
      <c r="A38" s="294" t="s">
        <v>96</v>
      </c>
      <c r="B38" s="294"/>
      <c r="C38" s="294"/>
      <c r="D38" s="296" t="s">
        <v>96</v>
      </c>
      <c r="E38" s="295" t="s">
        <v>125</v>
      </c>
      <c r="F38" s="295" t="s">
        <v>126</v>
      </c>
      <c r="G38" s="295" t="s">
        <v>127</v>
      </c>
      <c r="H38" s="295"/>
      <c r="I38" s="295" t="s">
        <v>128</v>
      </c>
      <c r="J38" s="295" t="s">
        <v>129</v>
      </c>
      <c r="K38" s="295" t="s">
        <v>226</v>
      </c>
      <c r="L38" s="295">
        <v>2</v>
      </c>
      <c r="M38" s="295">
        <v>32</v>
      </c>
      <c r="N38" s="295" t="s">
        <v>227</v>
      </c>
      <c r="O38" s="296" t="s">
        <v>105</v>
      </c>
      <c r="P38" s="278">
        <f t="shared" si="1"/>
        <v>121226</v>
      </c>
      <c r="Q38" s="279">
        <f t="shared" si="2"/>
        <v>14246</v>
      </c>
      <c r="R38" s="280">
        <f t="shared" si="3"/>
        <v>106980</v>
      </c>
      <c r="S38" s="280">
        <f t="shared" si="4"/>
        <v>0</v>
      </c>
      <c r="T38" s="280">
        <f t="shared" si="5"/>
        <v>0</v>
      </c>
      <c r="U38" s="281">
        <f t="shared" si="6"/>
        <v>0</v>
      </c>
      <c r="V38" s="345"/>
      <c r="W38" s="290">
        <f>13246+1000</f>
        <v>14246</v>
      </c>
      <c r="X38" s="302"/>
      <c r="Y38" s="345"/>
      <c r="Z38" s="290">
        <f>52980+4000</f>
        <v>56980</v>
      </c>
      <c r="AA38" s="302">
        <v>50000</v>
      </c>
      <c r="AB38" s="281"/>
      <c r="AC38" s="282"/>
      <c r="AD38" s="284"/>
      <c r="AE38" s="283"/>
      <c r="AF38" s="282"/>
      <c r="AG38" s="284"/>
      <c r="AH38" s="283"/>
      <c r="AI38" s="282"/>
      <c r="AJ38" s="282"/>
      <c r="AK38" s="297" t="s">
        <v>228</v>
      </c>
      <c r="AL38" s="285"/>
      <c r="AM38" s="285"/>
      <c r="AN38" s="378"/>
      <c r="AO38" s="370">
        <v>0</v>
      </c>
      <c r="AP38" s="253">
        <v>0</v>
      </c>
      <c r="AQ38" s="371">
        <v>0</v>
      </c>
      <c r="AR38" s="439" t="s">
        <v>229</v>
      </c>
    </row>
    <row r="39" spans="1:48" s="35" customFormat="1" ht="330" x14ac:dyDescent="0.25">
      <c r="A39" s="294" t="s">
        <v>96</v>
      </c>
      <c r="B39" s="294"/>
      <c r="C39" s="294"/>
      <c r="D39" s="296" t="s">
        <v>96</v>
      </c>
      <c r="E39" s="295" t="s">
        <v>97</v>
      </c>
      <c r="F39" s="295" t="s">
        <v>132</v>
      </c>
      <c r="G39" s="295" t="s">
        <v>99</v>
      </c>
      <c r="H39" s="295"/>
      <c r="I39" s="295" t="s">
        <v>133</v>
      </c>
      <c r="J39" s="295" t="s">
        <v>230</v>
      </c>
      <c r="K39" s="295" t="s">
        <v>231</v>
      </c>
      <c r="L39" s="295">
        <v>5</v>
      </c>
      <c r="M39" s="295"/>
      <c r="N39" s="295"/>
      <c r="O39" s="296" t="s">
        <v>105</v>
      </c>
      <c r="P39" s="278">
        <f t="shared" si="1"/>
        <v>50562</v>
      </c>
      <c r="Q39" s="279">
        <f t="shared" si="2"/>
        <v>0</v>
      </c>
      <c r="R39" s="280">
        <f t="shared" si="3"/>
        <v>50562</v>
      </c>
      <c r="S39" s="280">
        <f t="shared" si="4"/>
        <v>0</v>
      </c>
      <c r="T39" s="280">
        <f t="shared" si="5"/>
        <v>0</v>
      </c>
      <c r="U39" s="281">
        <f t="shared" si="6"/>
        <v>0</v>
      </c>
      <c r="V39" s="345"/>
      <c r="W39" s="290"/>
      <c r="X39" s="302"/>
      <c r="Y39" s="345"/>
      <c r="Z39" s="290">
        <f>46562+4000</f>
        <v>50562</v>
      </c>
      <c r="AA39" s="302"/>
      <c r="AB39" s="281"/>
      <c r="AC39" s="282"/>
      <c r="AD39" s="284"/>
      <c r="AE39" s="283"/>
      <c r="AF39" s="282"/>
      <c r="AG39" s="284"/>
      <c r="AH39" s="283"/>
      <c r="AI39" s="282"/>
      <c r="AJ39" s="282"/>
      <c r="AK39" s="297" t="s">
        <v>232</v>
      </c>
      <c r="AL39" s="285"/>
      <c r="AM39" s="285"/>
      <c r="AN39" s="378"/>
      <c r="AO39" s="370">
        <v>0</v>
      </c>
      <c r="AP39" s="253">
        <v>0</v>
      </c>
      <c r="AQ39" s="371">
        <v>0</v>
      </c>
      <c r="AR39" s="439" t="s">
        <v>233</v>
      </c>
    </row>
    <row r="40" spans="1:48" s="19" customFormat="1" ht="270" x14ac:dyDescent="0.25">
      <c r="A40" s="294" t="s">
        <v>96</v>
      </c>
      <c r="B40" s="294"/>
      <c r="C40" s="294"/>
      <c r="D40" s="296" t="s">
        <v>96</v>
      </c>
      <c r="E40" s="295" t="s">
        <v>97</v>
      </c>
      <c r="F40" s="295" t="s">
        <v>137</v>
      </c>
      <c r="G40" s="295" t="s">
        <v>110</v>
      </c>
      <c r="H40" s="295"/>
      <c r="I40" s="295" t="s">
        <v>138</v>
      </c>
      <c r="J40" s="295" t="s">
        <v>139</v>
      </c>
      <c r="K40" s="295" t="s">
        <v>234</v>
      </c>
      <c r="L40" s="295">
        <v>6</v>
      </c>
      <c r="M40" s="295"/>
      <c r="N40" s="295"/>
      <c r="O40" s="296" t="s">
        <v>105</v>
      </c>
      <c r="P40" s="278">
        <f t="shared" si="1"/>
        <v>18000</v>
      </c>
      <c r="Q40" s="279">
        <f t="shared" si="2"/>
        <v>6000</v>
      </c>
      <c r="R40" s="280">
        <f t="shared" si="3"/>
        <v>12000</v>
      </c>
      <c r="S40" s="280">
        <f t="shared" si="4"/>
        <v>0</v>
      </c>
      <c r="T40" s="280">
        <f t="shared" si="5"/>
        <v>0</v>
      </c>
      <c r="U40" s="281">
        <f t="shared" si="6"/>
        <v>0</v>
      </c>
      <c r="V40" s="345"/>
      <c r="W40" s="290"/>
      <c r="X40" s="302">
        <v>6000</v>
      </c>
      <c r="Y40" s="345"/>
      <c r="Z40" s="290"/>
      <c r="AA40" s="302">
        <v>12000</v>
      </c>
      <c r="AB40" s="281"/>
      <c r="AC40" s="282"/>
      <c r="AD40" s="284"/>
      <c r="AE40" s="283"/>
      <c r="AF40" s="282"/>
      <c r="AG40" s="284"/>
      <c r="AH40" s="283"/>
      <c r="AI40" s="282"/>
      <c r="AJ40" s="282"/>
      <c r="AK40" s="297" t="s">
        <v>235</v>
      </c>
      <c r="AL40" s="285"/>
      <c r="AM40" s="285"/>
      <c r="AN40" s="378"/>
      <c r="AO40" s="370">
        <v>0</v>
      </c>
      <c r="AP40" s="253">
        <v>0</v>
      </c>
      <c r="AQ40" s="371">
        <v>0</v>
      </c>
      <c r="AR40" s="439" t="s">
        <v>236</v>
      </c>
    </row>
    <row r="41" spans="1:48" s="35" customFormat="1" ht="240" x14ac:dyDescent="0.25">
      <c r="A41" s="293" t="s">
        <v>96</v>
      </c>
      <c r="B41" s="294"/>
      <c r="C41" s="294"/>
      <c r="D41" s="296" t="s">
        <v>96</v>
      </c>
      <c r="E41" s="295" t="s">
        <v>97</v>
      </c>
      <c r="F41" s="295" t="s">
        <v>109</v>
      </c>
      <c r="G41" s="295" t="s">
        <v>99</v>
      </c>
      <c r="H41" s="295"/>
      <c r="I41" s="295" t="s">
        <v>142</v>
      </c>
      <c r="J41" s="295" t="s">
        <v>143</v>
      </c>
      <c r="K41" s="295" t="s">
        <v>237</v>
      </c>
      <c r="L41" s="295"/>
      <c r="M41" s="295"/>
      <c r="N41" s="295"/>
      <c r="O41" s="296" t="s">
        <v>145</v>
      </c>
      <c r="P41" s="278">
        <f t="shared" si="1"/>
        <v>212000</v>
      </c>
      <c r="Q41" s="279">
        <f t="shared" si="2"/>
        <v>150000</v>
      </c>
      <c r="R41" s="280">
        <f t="shared" si="3"/>
        <v>62000</v>
      </c>
      <c r="S41" s="280">
        <f t="shared" si="4"/>
        <v>0</v>
      </c>
      <c r="T41" s="280">
        <f t="shared" si="5"/>
        <v>0</v>
      </c>
      <c r="U41" s="281">
        <f t="shared" si="6"/>
        <v>0</v>
      </c>
      <c r="V41" s="345"/>
      <c r="W41" s="290">
        <v>140000</v>
      </c>
      <c r="X41" s="302">
        <v>10000</v>
      </c>
      <c r="Y41" s="345"/>
      <c r="Z41" s="290">
        <v>52000</v>
      </c>
      <c r="AA41" s="302">
        <v>10000</v>
      </c>
      <c r="AB41" s="281"/>
      <c r="AC41" s="282"/>
      <c r="AD41" s="284"/>
      <c r="AE41" s="283"/>
      <c r="AF41" s="282"/>
      <c r="AG41" s="284"/>
      <c r="AH41" s="283"/>
      <c r="AI41" s="282"/>
      <c r="AJ41" s="282"/>
      <c r="AK41" s="297" t="s">
        <v>238</v>
      </c>
      <c r="AL41" s="285"/>
      <c r="AM41" s="285"/>
      <c r="AN41" s="378"/>
      <c r="AO41" s="370">
        <v>0</v>
      </c>
      <c r="AP41" s="253">
        <v>0</v>
      </c>
      <c r="AQ41" s="371">
        <v>0</v>
      </c>
      <c r="AR41" s="439" t="s">
        <v>239</v>
      </c>
    </row>
    <row r="42" spans="1:48" s="35" customFormat="1" ht="210" x14ac:dyDescent="0.25">
      <c r="A42" s="293" t="s">
        <v>96</v>
      </c>
      <c r="B42" s="294"/>
      <c r="C42" s="294"/>
      <c r="D42" s="296" t="s">
        <v>96</v>
      </c>
      <c r="E42" s="295" t="s">
        <v>125</v>
      </c>
      <c r="F42" s="295" t="s">
        <v>126</v>
      </c>
      <c r="G42" s="295" t="s">
        <v>127</v>
      </c>
      <c r="H42" s="295"/>
      <c r="I42" s="295" t="s">
        <v>149</v>
      </c>
      <c r="J42" s="295" t="s">
        <v>150</v>
      </c>
      <c r="K42" s="295" t="s">
        <v>151</v>
      </c>
      <c r="L42" s="295"/>
      <c r="M42" s="295"/>
      <c r="N42" s="295"/>
      <c r="O42" s="296" t="s">
        <v>152</v>
      </c>
      <c r="P42" s="278">
        <f t="shared" si="1"/>
        <v>545500</v>
      </c>
      <c r="Q42" s="279">
        <f t="shared" si="2"/>
        <v>0</v>
      </c>
      <c r="R42" s="280">
        <f t="shared" si="3"/>
        <v>545500</v>
      </c>
      <c r="S42" s="280">
        <f t="shared" si="4"/>
        <v>0</v>
      </c>
      <c r="T42" s="280">
        <f t="shared" si="5"/>
        <v>0</v>
      </c>
      <c r="U42" s="281">
        <f t="shared" si="6"/>
        <v>0</v>
      </c>
      <c r="V42" s="345"/>
      <c r="W42" s="290"/>
      <c r="X42" s="302"/>
      <c r="Y42" s="345">
        <v>395500</v>
      </c>
      <c r="Z42" s="290">
        <v>50000</v>
      </c>
      <c r="AA42" s="302">
        <v>100000</v>
      </c>
      <c r="AB42" s="281"/>
      <c r="AC42" s="282"/>
      <c r="AD42" s="284"/>
      <c r="AE42" s="283"/>
      <c r="AF42" s="282"/>
      <c r="AG42" s="284"/>
      <c r="AH42" s="283"/>
      <c r="AI42" s="282"/>
      <c r="AJ42" s="282"/>
      <c r="AK42" s="297" t="s">
        <v>240</v>
      </c>
      <c r="AL42" s="285"/>
      <c r="AM42" s="285"/>
      <c r="AN42" s="378"/>
      <c r="AO42" s="370">
        <v>0</v>
      </c>
      <c r="AP42" s="253">
        <v>0</v>
      </c>
      <c r="AQ42" s="371">
        <v>0</v>
      </c>
      <c r="AR42" s="373" t="s">
        <v>241</v>
      </c>
    </row>
    <row r="43" spans="1:48" s="35" customFormat="1" ht="255" x14ac:dyDescent="0.25">
      <c r="A43" s="293" t="s">
        <v>96</v>
      </c>
      <c r="B43" s="294"/>
      <c r="C43" s="294"/>
      <c r="D43" s="296" t="s">
        <v>96</v>
      </c>
      <c r="E43" s="295" t="s">
        <v>97</v>
      </c>
      <c r="F43" s="295" t="s">
        <v>109</v>
      </c>
      <c r="G43" s="295" t="s">
        <v>99</v>
      </c>
      <c r="H43" s="295"/>
      <c r="I43" s="295" t="s">
        <v>157</v>
      </c>
      <c r="J43" s="295" t="s">
        <v>242</v>
      </c>
      <c r="K43" s="295" t="s">
        <v>243</v>
      </c>
      <c r="L43" s="295"/>
      <c r="M43" s="295"/>
      <c r="N43" s="295"/>
      <c r="O43" s="296" t="s">
        <v>152</v>
      </c>
      <c r="P43" s="278">
        <f t="shared" si="1"/>
        <v>60000</v>
      </c>
      <c r="Q43" s="279">
        <f t="shared" si="2"/>
        <v>0</v>
      </c>
      <c r="R43" s="280">
        <f t="shared" si="3"/>
        <v>60000</v>
      </c>
      <c r="S43" s="280">
        <f t="shared" si="4"/>
        <v>0</v>
      </c>
      <c r="T43" s="280">
        <f t="shared" si="5"/>
        <v>0</v>
      </c>
      <c r="U43" s="281">
        <f t="shared" si="6"/>
        <v>0</v>
      </c>
      <c r="V43" s="345"/>
      <c r="W43" s="290"/>
      <c r="X43" s="302"/>
      <c r="Y43" s="345"/>
      <c r="Z43" s="290"/>
      <c r="AA43" s="302">
        <v>60000</v>
      </c>
      <c r="AB43" s="281"/>
      <c r="AC43" s="282"/>
      <c r="AD43" s="284"/>
      <c r="AE43" s="283"/>
      <c r="AF43" s="282"/>
      <c r="AG43" s="284"/>
      <c r="AH43" s="283"/>
      <c r="AI43" s="282"/>
      <c r="AJ43" s="282"/>
      <c r="AK43" s="297" t="s">
        <v>244</v>
      </c>
      <c r="AL43" s="285"/>
      <c r="AM43" s="285"/>
      <c r="AN43" s="378"/>
      <c r="AO43" s="370">
        <v>0</v>
      </c>
      <c r="AP43" s="253">
        <v>0</v>
      </c>
      <c r="AQ43" s="371">
        <v>0</v>
      </c>
      <c r="AR43" s="439" t="s">
        <v>245</v>
      </c>
    </row>
    <row r="44" spans="1:48" s="35" customFormat="1" ht="90" x14ac:dyDescent="0.25">
      <c r="A44" s="293"/>
      <c r="B44" s="294"/>
      <c r="C44" s="294"/>
      <c r="D44" s="296"/>
      <c r="E44" s="296"/>
      <c r="F44" s="296"/>
      <c r="G44" s="296"/>
      <c r="H44" s="296"/>
      <c r="I44" s="296"/>
      <c r="J44" s="296"/>
      <c r="K44" s="296"/>
      <c r="L44" s="296"/>
      <c r="M44" s="296"/>
      <c r="N44" s="296"/>
      <c r="O44" s="296"/>
      <c r="P44" s="278">
        <f t="shared" si="1"/>
        <v>0</v>
      </c>
      <c r="Q44" s="279">
        <f t="shared" si="2"/>
        <v>0</v>
      </c>
      <c r="R44" s="280">
        <f t="shared" si="3"/>
        <v>0</v>
      </c>
      <c r="S44" s="280">
        <f t="shared" si="4"/>
        <v>0</v>
      </c>
      <c r="T44" s="280">
        <f t="shared" si="5"/>
        <v>0</v>
      </c>
      <c r="U44" s="281">
        <f t="shared" si="6"/>
        <v>0</v>
      </c>
      <c r="V44" s="345"/>
      <c r="W44" s="290"/>
      <c r="X44" s="302"/>
      <c r="Y44" s="345"/>
      <c r="Z44" s="290"/>
      <c r="AA44" s="302"/>
      <c r="AB44" s="281"/>
      <c r="AC44" s="282"/>
      <c r="AD44" s="284"/>
      <c r="AE44" s="283"/>
      <c r="AF44" s="282"/>
      <c r="AG44" s="284"/>
      <c r="AH44" s="283"/>
      <c r="AI44" s="282"/>
      <c r="AJ44" s="282"/>
      <c r="AK44" s="297" t="s">
        <v>246</v>
      </c>
      <c r="AL44" s="285"/>
      <c r="AM44" s="285"/>
      <c r="AN44" s="378"/>
      <c r="AO44" s="370"/>
      <c r="AP44" s="253"/>
      <c r="AQ44" s="371"/>
      <c r="AR44" s="373"/>
    </row>
    <row r="45" spans="1:48" s="35" customFormat="1" ht="15.75" x14ac:dyDescent="0.25">
      <c r="A45" s="293"/>
      <c r="B45" s="294"/>
      <c r="C45" s="294"/>
      <c r="D45" s="296"/>
      <c r="E45" s="296"/>
      <c r="F45" s="296"/>
      <c r="G45" s="296"/>
      <c r="H45" s="296"/>
      <c r="I45" s="296"/>
      <c r="J45" s="296"/>
      <c r="K45" s="296"/>
      <c r="L45" s="296"/>
      <c r="M45" s="296"/>
      <c r="N45" s="296"/>
      <c r="O45" s="296"/>
      <c r="P45" s="278">
        <f t="shared" si="1"/>
        <v>0</v>
      </c>
      <c r="Q45" s="279">
        <f t="shared" si="2"/>
        <v>0</v>
      </c>
      <c r="R45" s="280">
        <f t="shared" si="3"/>
        <v>0</v>
      </c>
      <c r="S45" s="280">
        <f t="shared" si="4"/>
        <v>0</v>
      </c>
      <c r="T45" s="280">
        <f t="shared" si="5"/>
        <v>0</v>
      </c>
      <c r="U45" s="281">
        <f t="shared" si="6"/>
        <v>0</v>
      </c>
      <c r="V45" s="345"/>
      <c r="W45" s="290"/>
      <c r="X45" s="302"/>
      <c r="Y45" s="345"/>
      <c r="Z45" s="290"/>
      <c r="AA45" s="302"/>
      <c r="AB45" s="281"/>
      <c r="AC45" s="282"/>
      <c r="AD45" s="284"/>
      <c r="AE45" s="283"/>
      <c r="AF45" s="282"/>
      <c r="AG45" s="284"/>
      <c r="AH45" s="283"/>
      <c r="AI45" s="282"/>
      <c r="AJ45" s="282"/>
      <c r="AK45" s="297"/>
      <c r="AL45" s="285"/>
      <c r="AM45" s="285"/>
      <c r="AN45" s="378"/>
      <c r="AO45" s="370"/>
      <c r="AP45" s="253"/>
      <c r="AQ45" s="371"/>
      <c r="AR45" s="373"/>
    </row>
    <row r="46" spans="1:48" s="19" customFormat="1" ht="15.75" x14ac:dyDescent="0.25">
      <c r="A46" s="293"/>
      <c r="B46" s="294"/>
      <c r="C46" s="294"/>
      <c r="D46" s="296"/>
      <c r="E46" s="296"/>
      <c r="F46" s="296"/>
      <c r="G46" s="296"/>
      <c r="H46" s="296"/>
      <c r="I46" s="296"/>
      <c r="J46" s="296"/>
      <c r="K46" s="296"/>
      <c r="L46" s="296"/>
      <c r="M46" s="296"/>
      <c r="N46" s="296"/>
      <c r="O46" s="296"/>
      <c r="P46" s="278">
        <f t="shared" si="1"/>
        <v>0</v>
      </c>
      <c r="Q46" s="279">
        <f t="shared" si="2"/>
        <v>0</v>
      </c>
      <c r="R46" s="280">
        <f t="shared" si="3"/>
        <v>0</v>
      </c>
      <c r="S46" s="280">
        <f t="shared" si="4"/>
        <v>0</v>
      </c>
      <c r="T46" s="280">
        <f t="shared" si="5"/>
        <v>0</v>
      </c>
      <c r="U46" s="281">
        <f t="shared" si="6"/>
        <v>0</v>
      </c>
      <c r="V46" s="345"/>
      <c r="W46" s="290"/>
      <c r="X46" s="302"/>
      <c r="Y46" s="345"/>
      <c r="Z46" s="290"/>
      <c r="AA46" s="302"/>
      <c r="AB46" s="281"/>
      <c r="AC46" s="282"/>
      <c r="AD46" s="284"/>
      <c r="AE46" s="283"/>
      <c r="AF46" s="282"/>
      <c r="AG46" s="284"/>
      <c r="AH46" s="283"/>
      <c r="AI46" s="282"/>
      <c r="AJ46" s="282"/>
      <c r="AK46" s="297"/>
      <c r="AL46" s="285"/>
      <c r="AM46" s="285"/>
      <c r="AN46" s="378"/>
      <c r="AO46" s="370"/>
      <c r="AP46" s="253"/>
      <c r="AQ46" s="371"/>
      <c r="AR46" s="373"/>
    </row>
    <row r="47" spans="1:48" s="19" customFormat="1" ht="15.75" x14ac:dyDescent="0.25">
      <c r="A47" s="293"/>
      <c r="B47" s="294"/>
      <c r="C47" s="294"/>
      <c r="D47" s="296"/>
      <c r="E47" s="296"/>
      <c r="F47" s="296"/>
      <c r="G47" s="296"/>
      <c r="H47" s="296"/>
      <c r="I47" s="296"/>
      <c r="J47" s="296"/>
      <c r="K47" s="296"/>
      <c r="L47" s="296"/>
      <c r="M47" s="296"/>
      <c r="N47" s="296"/>
      <c r="O47" s="296"/>
      <c r="P47" s="278">
        <f t="shared" si="1"/>
        <v>0</v>
      </c>
      <c r="Q47" s="279">
        <f t="shared" si="2"/>
        <v>0</v>
      </c>
      <c r="R47" s="280">
        <f t="shared" si="3"/>
        <v>0</v>
      </c>
      <c r="S47" s="280">
        <f t="shared" si="4"/>
        <v>0</v>
      </c>
      <c r="T47" s="280">
        <f t="shared" si="5"/>
        <v>0</v>
      </c>
      <c r="U47" s="281">
        <f t="shared" si="6"/>
        <v>0</v>
      </c>
      <c r="V47" s="345"/>
      <c r="W47" s="290"/>
      <c r="X47" s="302"/>
      <c r="Y47" s="345"/>
      <c r="Z47" s="290"/>
      <c r="AA47" s="302"/>
      <c r="AB47" s="281"/>
      <c r="AC47" s="282"/>
      <c r="AD47" s="284"/>
      <c r="AE47" s="283"/>
      <c r="AF47" s="282"/>
      <c r="AG47" s="284"/>
      <c r="AH47" s="283"/>
      <c r="AI47" s="282"/>
      <c r="AJ47" s="282"/>
      <c r="AK47" s="297"/>
      <c r="AL47" s="285"/>
      <c r="AM47" s="285"/>
      <c r="AN47" s="378"/>
      <c r="AO47" s="370"/>
      <c r="AP47" s="253"/>
      <c r="AQ47" s="371"/>
      <c r="AR47" s="373"/>
    </row>
    <row r="48" spans="1:48" s="35" customFormat="1" ht="15.75" x14ac:dyDescent="0.25">
      <c r="A48" s="293"/>
      <c r="B48" s="294"/>
      <c r="C48" s="294"/>
      <c r="D48" s="296"/>
      <c r="E48" s="296"/>
      <c r="F48" s="296"/>
      <c r="G48" s="296"/>
      <c r="H48" s="296"/>
      <c r="I48" s="296"/>
      <c r="J48" s="296"/>
      <c r="K48" s="296"/>
      <c r="L48" s="296"/>
      <c r="M48" s="296"/>
      <c r="N48" s="296"/>
      <c r="O48" s="296"/>
      <c r="P48" s="278">
        <f t="shared" si="1"/>
        <v>0</v>
      </c>
      <c r="Q48" s="279">
        <f t="shared" si="2"/>
        <v>0</v>
      </c>
      <c r="R48" s="280">
        <f t="shared" si="3"/>
        <v>0</v>
      </c>
      <c r="S48" s="280">
        <f t="shared" si="4"/>
        <v>0</v>
      </c>
      <c r="T48" s="280">
        <f t="shared" si="5"/>
        <v>0</v>
      </c>
      <c r="U48" s="281">
        <f t="shared" si="6"/>
        <v>0</v>
      </c>
      <c r="V48" s="345"/>
      <c r="W48" s="290"/>
      <c r="X48" s="302"/>
      <c r="Y48" s="345"/>
      <c r="Z48" s="290"/>
      <c r="AA48" s="302"/>
      <c r="AB48" s="281"/>
      <c r="AC48" s="282"/>
      <c r="AD48" s="284"/>
      <c r="AE48" s="283"/>
      <c r="AF48" s="282"/>
      <c r="AG48" s="284"/>
      <c r="AH48" s="283"/>
      <c r="AI48" s="282"/>
      <c r="AJ48" s="282"/>
      <c r="AK48" s="297"/>
      <c r="AL48" s="285"/>
      <c r="AM48" s="285"/>
      <c r="AN48" s="378"/>
      <c r="AO48" s="370"/>
      <c r="AP48" s="253"/>
      <c r="AQ48" s="371"/>
      <c r="AR48" s="373"/>
    </row>
    <row r="49" spans="1:44" s="19" customFormat="1" ht="15.75" x14ac:dyDescent="0.25">
      <c r="A49" s="293"/>
      <c r="B49" s="294"/>
      <c r="C49" s="294"/>
      <c r="D49" s="296"/>
      <c r="E49" s="296"/>
      <c r="F49" s="296"/>
      <c r="G49" s="296"/>
      <c r="H49" s="296"/>
      <c r="I49" s="296"/>
      <c r="J49" s="296"/>
      <c r="K49" s="296"/>
      <c r="L49" s="296"/>
      <c r="M49" s="296"/>
      <c r="N49" s="296"/>
      <c r="O49" s="296"/>
      <c r="P49" s="278">
        <f t="shared" si="1"/>
        <v>0</v>
      </c>
      <c r="Q49" s="279">
        <f t="shared" si="2"/>
        <v>0</v>
      </c>
      <c r="R49" s="280">
        <f t="shared" si="3"/>
        <v>0</v>
      </c>
      <c r="S49" s="280">
        <f t="shared" si="4"/>
        <v>0</v>
      </c>
      <c r="T49" s="280">
        <f t="shared" si="5"/>
        <v>0</v>
      </c>
      <c r="U49" s="281">
        <f t="shared" si="6"/>
        <v>0</v>
      </c>
      <c r="V49" s="345"/>
      <c r="W49" s="290"/>
      <c r="X49" s="302"/>
      <c r="Y49" s="345"/>
      <c r="Z49" s="290"/>
      <c r="AA49" s="302"/>
      <c r="AB49" s="281"/>
      <c r="AC49" s="282"/>
      <c r="AD49" s="284"/>
      <c r="AE49" s="283"/>
      <c r="AF49" s="282"/>
      <c r="AG49" s="284"/>
      <c r="AH49" s="283"/>
      <c r="AI49" s="282"/>
      <c r="AJ49" s="282"/>
      <c r="AK49" s="297"/>
      <c r="AL49" s="285"/>
      <c r="AM49" s="285"/>
      <c r="AN49" s="378"/>
      <c r="AO49" s="370"/>
      <c r="AP49" s="253"/>
      <c r="AQ49" s="371"/>
      <c r="AR49" s="373"/>
    </row>
    <row r="50" spans="1:44" s="35" customFormat="1" ht="15.75" x14ac:dyDescent="0.25">
      <c r="A50" s="293"/>
      <c r="B50" s="294"/>
      <c r="C50" s="294"/>
      <c r="D50" s="296"/>
      <c r="E50" s="296"/>
      <c r="F50" s="296"/>
      <c r="G50" s="296"/>
      <c r="H50" s="296"/>
      <c r="I50" s="296"/>
      <c r="J50" s="296"/>
      <c r="K50" s="296"/>
      <c r="L50" s="296"/>
      <c r="M50" s="296"/>
      <c r="N50" s="296"/>
      <c r="O50" s="296"/>
      <c r="P50" s="278">
        <f t="shared" si="1"/>
        <v>0</v>
      </c>
      <c r="Q50" s="279">
        <f t="shared" si="2"/>
        <v>0</v>
      </c>
      <c r="R50" s="280">
        <f t="shared" si="3"/>
        <v>0</v>
      </c>
      <c r="S50" s="280">
        <f t="shared" si="4"/>
        <v>0</v>
      </c>
      <c r="T50" s="280">
        <f t="shared" si="5"/>
        <v>0</v>
      </c>
      <c r="U50" s="281">
        <f t="shared" si="6"/>
        <v>0</v>
      </c>
      <c r="V50" s="345"/>
      <c r="W50" s="290"/>
      <c r="X50" s="302"/>
      <c r="Y50" s="345"/>
      <c r="Z50" s="290"/>
      <c r="AA50" s="302"/>
      <c r="AB50" s="281"/>
      <c r="AC50" s="282"/>
      <c r="AD50" s="284"/>
      <c r="AE50" s="283"/>
      <c r="AF50" s="282"/>
      <c r="AG50" s="284"/>
      <c r="AH50" s="283"/>
      <c r="AI50" s="282"/>
      <c r="AJ50" s="282"/>
      <c r="AK50" s="297"/>
      <c r="AL50" s="285"/>
      <c r="AM50" s="285"/>
      <c r="AN50" s="378"/>
      <c r="AO50" s="370"/>
      <c r="AP50" s="253"/>
      <c r="AQ50" s="371"/>
      <c r="AR50" s="373"/>
    </row>
    <row r="51" spans="1:44" s="35" customFormat="1" ht="15.75" x14ac:dyDescent="0.25">
      <c r="A51" s="293"/>
      <c r="B51" s="294"/>
      <c r="C51" s="294"/>
      <c r="D51" s="296"/>
      <c r="E51" s="296"/>
      <c r="F51" s="296"/>
      <c r="G51" s="296"/>
      <c r="H51" s="296"/>
      <c r="I51" s="296"/>
      <c r="J51" s="296"/>
      <c r="K51" s="296"/>
      <c r="L51" s="296"/>
      <c r="M51" s="296"/>
      <c r="N51" s="296"/>
      <c r="O51" s="296"/>
      <c r="P51" s="278">
        <f t="shared" si="1"/>
        <v>0</v>
      </c>
      <c r="Q51" s="279">
        <f t="shared" si="2"/>
        <v>0</v>
      </c>
      <c r="R51" s="280">
        <f t="shared" si="3"/>
        <v>0</v>
      </c>
      <c r="S51" s="280">
        <f t="shared" si="4"/>
        <v>0</v>
      </c>
      <c r="T51" s="280">
        <f t="shared" si="5"/>
        <v>0</v>
      </c>
      <c r="U51" s="281">
        <f t="shared" si="6"/>
        <v>0</v>
      </c>
      <c r="V51" s="345"/>
      <c r="W51" s="290"/>
      <c r="X51" s="302"/>
      <c r="Y51" s="345"/>
      <c r="Z51" s="290"/>
      <c r="AA51" s="302"/>
      <c r="AB51" s="281"/>
      <c r="AC51" s="282"/>
      <c r="AD51" s="284"/>
      <c r="AE51" s="283"/>
      <c r="AF51" s="282"/>
      <c r="AG51" s="284"/>
      <c r="AH51" s="283"/>
      <c r="AI51" s="282"/>
      <c r="AJ51" s="282"/>
      <c r="AK51" s="297"/>
      <c r="AL51" s="285"/>
      <c r="AM51" s="285"/>
      <c r="AN51" s="378"/>
      <c r="AO51" s="370"/>
      <c r="AP51" s="253"/>
      <c r="AQ51" s="371"/>
      <c r="AR51" s="373"/>
    </row>
    <row r="52" spans="1:44" s="35" customFormat="1" ht="15.75" x14ac:dyDescent="0.25">
      <c r="A52" s="293"/>
      <c r="B52" s="294"/>
      <c r="C52" s="294"/>
      <c r="D52" s="296"/>
      <c r="E52" s="296"/>
      <c r="F52" s="296"/>
      <c r="G52" s="296"/>
      <c r="H52" s="296"/>
      <c r="I52" s="296"/>
      <c r="J52" s="296"/>
      <c r="K52" s="296"/>
      <c r="L52" s="296"/>
      <c r="M52" s="296"/>
      <c r="N52" s="296"/>
      <c r="O52" s="296"/>
      <c r="P52" s="278">
        <f t="shared" si="1"/>
        <v>0</v>
      </c>
      <c r="Q52" s="279">
        <f t="shared" si="2"/>
        <v>0</v>
      </c>
      <c r="R52" s="280">
        <f t="shared" si="3"/>
        <v>0</v>
      </c>
      <c r="S52" s="280">
        <f t="shared" si="4"/>
        <v>0</v>
      </c>
      <c r="T52" s="280">
        <f t="shared" si="5"/>
        <v>0</v>
      </c>
      <c r="U52" s="281">
        <f t="shared" si="6"/>
        <v>0</v>
      </c>
      <c r="V52" s="345"/>
      <c r="W52" s="290"/>
      <c r="X52" s="302"/>
      <c r="Y52" s="345"/>
      <c r="Z52" s="290"/>
      <c r="AA52" s="302"/>
      <c r="AB52" s="281"/>
      <c r="AC52" s="282"/>
      <c r="AD52" s="284"/>
      <c r="AE52" s="283"/>
      <c r="AF52" s="282"/>
      <c r="AG52" s="284"/>
      <c r="AH52" s="283"/>
      <c r="AI52" s="282"/>
      <c r="AJ52" s="282"/>
      <c r="AK52" s="297"/>
      <c r="AL52" s="285"/>
      <c r="AM52" s="285"/>
      <c r="AN52" s="378"/>
      <c r="AO52" s="370"/>
      <c r="AP52" s="253"/>
      <c r="AQ52" s="371"/>
      <c r="AR52" s="373"/>
    </row>
    <row r="53" spans="1:44" s="19" customFormat="1" ht="15.75" x14ac:dyDescent="0.25">
      <c r="A53" s="293"/>
      <c r="B53" s="294"/>
      <c r="C53" s="294"/>
      <c r="D53" s="296"/>
      <c r="E53" s="296"/>
      <c r="F53" s="296"/>
      <c r="G53" s="296"/>
      <c r="H53" s="296"/>
      <c r="I53" s="296"/>
      <c r="J53" s="296"/>
      <c r="K53" s="296"/>
      <c r="L53" s="296"/>
      <c r="M53" s="296"/>
      <c r="N53" s="296"/>
      <c r="O53" s="296"/>
      <c r="P53" s="278">
        <f t="shared" si="1"/>
        <v>0</v>
      </c>
      <c r="Q53" s="279">
        <f t="shared" si="2"/>
        <v>0</v>
      </c>
      <c r="R53" s="280">
        <f t="shared" si="3"/>
        <v>0</v>
      </c>
      <c r="S53" s="280">
        <f t="shared" si="4"/>
        <v>0</v>
      </c>
      <c r="T53" s="280">
        <f t="shared" si="5"/>
        <v>0</v>
      </c>
      <c r="U53" s="281">
        <f t="shared" si="6"/>
        <v>0</v>
      </c>
      <c r="V53" s="345"/>
      <c r="W53" s="290"/>
      <c r="X53" s="302"/>
      <c r="Y53" s="345"/>
      <c r="Z53" s="290"/>
      <c r="AA53" s="302"/>
      <c r="AB53" s="281"/>
      <c r="AC53" s="282"/>
      <c r="AD53" s="284"/>
      <c r="AE53" s="283"/>
      <c r="AF53" s="282"/>
      <c r="AG53" s="284"/>
      <c r="AH53" s="283"/>
      <c r="AI53" s="282"/>
      <c r="AJ53" s="282"/>
      <c r="AK53" s="297"/>
      <c r="AL53" s="285"/>
      <c r="AM53" s="285"/>
      <c r="AN53" s="378"/>
      <c r="AO53" s="370"/>
      <c r="AP53" s="253"/>
      <c r="AQ53" s="371"/>
      <c r="AR53" s="373"/>
    </row>
    <row r="54" spans="1:44" s="35" customFormat="1" ht="15.75" x14ac:dyDescent="0.25">
      <c r="A54" s="293"/>
      <c r="B54" s="294"/>
      <c r="C54" s="294"/>
      <c r="D54" s="296"/>
      <c r="E54" s="296"/>
      <c r="F54" s="296"/>
      <c r="G54" s="296"/>
      <c r="H54" s="296"/>
      <c r="I54" s="296"/>
      <c r="J54" s="296"/>
      <c r="K54" s="296"/>
      <c r="L54" s="296"/>
      <c r="M54" s="296"/>
      <c r="N54" s="296"/>
      <c r="O54" s="296"/>
      <c r="P54" s="278">
        <f t="shared" si="1"/>
        <v>0</v>
      </c>
      <c r="Q54" s="279">
        <f t="shared" si="2"/>
        <v>0</v>
      </c>
      <c r="R54" s="280">
        <f t="shared" si="3"/>
        <v>0</v>
      </c>
      <c r="S54" s="280">
        <f t="shared" si="4"/>
        <v>0</v>
      </c>
      <c r="T54" s="280">
        <f t="shared" si="5"/>
        <v>0</v>
      </c>
      <c r="U54" s="281">
        <f t="shared" si="6"/>
        <v>0</v>
      </c>
      <c r="V54" s="345"/>
      <c r="W54" s="290"/>
      <c r="X54" s="302"/>
      <c r="Y54" s="345"/>
      <c r="Z54" s="290"/>
      <c r="AA54" s="302"/>
      <c r="AB54" s="281"/>
      <c r="AC54" s="282"/>
      <c r="AD54" s="284"/>
      <c r="AE54" s="283"/>
      <c r="AF54" s="282"/>
      <c r="AG54" s="284"/>
      <c r="AH54" s="283"/>
      <c r="AI54" s="282"/>
      <c r="AJ54" s="282"/>
      <c r="AK54" s="297"/>
      <c r="AL54" s="285"/>
      <c r="AM54" s="285"/>
      <c r="AN54" s="378"/>
      <c r="AO54" s="370"/>
      <c r="AP54" s="253"/>
      <c r="AQ54" s="371"/>
      <c r="AR54" s="373"/>
    </row>
    <row r="55" spans="1:44" s="35" customFormat="1" ht="15.75" x14ac:dyDescent="0.25">
      <c r="A55" s="293"/>
      <c r="B55" s="294"/>
      <c r="C55" s="294"/>
      <c r="D55" s="296"/>
      <c r="E55" s="296"/>
      <c r="F55" s="296"/>
      <c r="G55" s="296"/>
      <c r="H55" s="296"/>
      <c r="I55" s="296"/>
      <c r="J55" s="296"/>
      <c r="K55" s="296"/>
      <c r="L55" s="296"/>
      <c r="M55" s="296"/>
      <c r="N55" s="296"/>
      <c r="O55" s="296"/>
      <c r="P55" s="278">
        <f t="shared" si="1"/>
        <v>0</v>
      </c>
      <c r="Q55" s="279">
        <f t="shared" si="2"/>
        <v>0</v>
      </c>
      <c r="R55" s="280">
        <f t="shared" si="3"/>
        <v>0</v>
      </c>
      <c r="S55" s="280">
        <f t="shared" si="4"/>
        <v>0</v>
      </c>
      <c r="T55" s="280">
        <f t="shared" si="5"/>
        <v>0</v>
      </c>
      <c r="U55" s="281">
        <f t="shared" si="6"/>
        <v>0</v>
      </c>
      <c r="V55" s="345"/>
      <c r="W55" s="290"/>
      <c r="X55" s="302"/>
      <c r="Y55" s="348"/>
      <c r="Z55" s="343"/>
      <c r="AA55" s="306"/>
      <c r="AB55" s="281"/>
      <c r="AC55" s="282"/>
      <c r="AD55" s="284"/>
      <c r="AE55" s="283"/>
      <c r="AF55" s="282"/>
      <c r="AG55" s="284"/>
      <c r="AH55" s="283"/>
      <c r="AI55" s="282"/>
      <c r="AJ55" s="282"/>
      <c r="AK55" s="297"/>
      <c r="AL55" s="285"/>
      <c r="AM55" s="285"/>
      <c r="AN55" s="378"/>
      <c r="AO55" s="370"/>
      <c r="AP55" s="253"/>
      <c r="AQ55" s="371"/>
      <c r="AR55" s="373"/>
    </row>
    <row r="56" spans="1:44" s="19" customFormat="1" ht="15.75" x14ac:dyDescent="0.25">
      <c r="A56" s="293"/>
      <c r="B56" s="294"/>
      <c r="C56" s="294"/>
      <c r="D56" s="296"/>
      <c r="E56" s="296"/>
      <c r="F56" s="296"/>
      <c r="G56" s="296"/>
      <c r="H56" s="296"/>
      <c r="I56" s="296"/>
      <c r="J56" s="296"/>
      <c r="K56" s="296"/>
      <c r="L56" s="296"/>
      <c r="M56" s="296"/>
      <c r="N56" s="296"/>
      <c r="O56" s="296"/>
      <c r="P56" s="278">
        <f t="shared" si="1"/>
        <v>0</v>
      </c>
      <c r="Q56" s="279">
        <f t="shared" si="2"/>
        <v>0</v>
      </c>
      <c r="R56" s="280">
        <f t="shared" si="3"/>
        <v>0</v>
      </c>
      <c r="S56" s="280">
        <f t="shared" si="4"/>
        <v>0</v>
      </c>
      <c r="T56" s="280">
        <f t="shared" si="5"/>
        <v>0</v>
      </c>
      <c r="U56" s="281">
        <f t="shared" si="6"/>
        <v>0</v>
      </c>
      <c r="V56" s="345"/>
      <c r="W56" s="290"/>
      <c r="X56" s="302"/>
      <c r="Y56" s="348"/>
      <c r="Z56" s="343"/>
      <c r="AA56" s="306"/>
      <c r="AB56" s="281"/>
      <c r="AC56" s="282"/>
      <c r="AD56" s="284"/>
      <c r="AE56" s="283"/>
      <c r="AF56" s="282"/>
      <c r="AG56" s="284"/>
      <c r="AH56" s="283"/>
      <c r="AI56" s="282"/>
      <c r="AJ56" s="282"/>
      <c r="AK56" s="297"/>
      <c r="AL56" s="285"/>
      <c r="AM56" s="285"/>
      <c r="AN56" s="378"/>
      <c r="AO56" s="370"/>
      <c r="AP56" s="253"/>
      <c r="AQ56" s="371"/>
      <c r="AR56" s="373"/>
    </row>
    <row r="57" spans="1:44" s="35" customFormat="1" ht="15.75" x14ac:dyDescent="0.25">
      <c r="A57" s="293"/>
      <c r="B57" s="294"/>
      <c r="C57" s="294"/>
      <c r="D57" s="296"/>
      <c r="E57" s="296"/>
      <c r="F57" s="296"/>
      <c r="G57" s="296"/>
      <c r="H57" s="296"/>
      <c r="I57" s="296"/>
      <c r="J57" s="296"/>
      <c r="K57" s="296"/>
      <c r="L57" s="296"/>
      <c r="M57" s="296"/>
      <c r="N57" s="296"/>
      <c r="O57" s="296"/>
      <c r="P57" s="278">
        <f t="shared" si="1"/>
        <v>0</v>
      </c>
      <c r="Q57" s="279">
        <f t="shared" si="2"/>
        <v>0</v>
      </c>
      <c r="R57" s="280">
        <f t="shared" si="3"/>
        <v>0</v>
      </c>
      <c r="S57" s="280">
        <f t="shared" si="4"/>
        <v>0</v>
      </c>
      <c r="T57" s="280">
        <f t="shared" si="5"/>
        <v>0</v>
      </c>
      <c r="U57" s="281">
        <f t="shared" si="6"/>
        <v>0</v>
      </c>
      <c r="V57" s="345"/>
      <c r="W57" s="290"/>
      <c r="X57" s="302"/>
      <c r="Y57" s="348"/>
      <c r="Z57" s="343"/>
      <c r="AA57" s="306"/>
      <c r="AB57" s="281"/>
      <c r="AC57" s="282"/>
      <c r="AD57" s="284"/>
      <c r="AE57" s="283"/>
      <c r="AF57" s="282"/>
      <c r="AG57" s="284"/>
      <c r="AH57" s="283"/>
      <c r="AI57" s="282"/>
      <c r="AJ57" s="282"/>
      <c r="AK57" s="297"/>
      <c r="AL57" s="285"/>
      <c r="AM57" s="285"/>
      <c r="AN57" s="378"/>
      <c r="AO57" s="370"/>
      <c r="AP57" s="253"/>
      <c r="AQ57" s="371"/>
      <c r="AR57" s="373"/>
    </row>
    <row r="58" spans="1:44" s="19" customFormat="1" ht="15.75" x14ac:dyDescent="0.25">
      <c r="A58" s="293"/>
      <c r="B58" s="294"/>
      <c r="C58" s="294"/>
      <c r="D58" s="296"/>
      <c r="E58" s="296"/>
      <c r="F58" s="296"/>
      <c r="G58" s="296"/>
      <c r="H58" s="296"/>
      <c r="I58" s="296"/>
      <c r="J58" s="296"/>
      <c r="K58" s="296"/>
      <c r="L58" s="296"/>
      <c r="M58" s="296"/>
      <c r="N58" s="296"/>
      <c r="O58" s="296"/>
      <c r="P58" s="278">
        <f t="shared" si="1"/>
        <v>0</v>
      </c>
      <c r="Q58" s="279">
        <f t="shared" si="2"/>
        <v>0</v>
      </c>
      <c r="R58" s="280">
        <f t="shared" si="3"/>
        <v>0</v>
      </c>
      <c r="S58" s="280">
        <f t="shared" si="4"/>
        <v>0</v>
      </c>
      <c r="T58" s="280">
        <f t="shared" si="5"/>
        <v>0</v>
      </c>
      <c r="U58" s="281">
        <f t="shared" si="6"/>
        <v>0</v>
      </c>
      <c r="V58" s="345"/>
      <c r="W58" s="290"/>
      <c r="X58" s="302"/>
      <c r="Y58" s="348"/>
      <c r="Z58" s="343"/>
      <c r="AA58" s="306"/>
      <c r="AB58" s="281"/>
      <c r="AC58" s="282"/>
      <c r="AD58" s="284"/>
      <c r="AE58" s="283"/>
      <c r="AF58" s="282"/>
      <c r="AG58" s="284"/>
      <c r="AH58" s="283"/>
      <c r="AI58" s="282"/>
      <c r="AJ58" s="282"/>
      <c r="AK58" s="297"/>
      <c r="AL58" s="285"/>
      <c r="AM58" s="285"/>
      <c r="AN58" s="378"/>
      <c r="AO58" s="370"/>
      <c r="AP58" s="253"/>
      <c r="AQ58" s="371"/>
      <c r="AR58" s="373"/>
    </row>
    <row r="59" spans="1:44" s="35" customFormat="1" ht="15.75" x14ac:dyDescent="0.25">
      <c r="A59" s="293"/>
      <c r="B59" s="294"/>
      <c r="C59" s="294"/>
      <c r="D59" s="296"/>
      <c r="E59" s="296"/>
      <c r="F59" s="296"/>
      <c r="G59" s="296"/>
      <c r="H59" s="296"/>
      <c r="I59" s="296"/>
      <c r="J59" s="296"/>
      <c r="K59" s="296"/>
      <c r="L59" s="296"/>
      <c r="M59" s="296"/>
      <c r="N59" s="296"/>
      <c r="O59" s="296"/>
      <c r="P59" s="278">
        <f t="shared" si="1"/>
        <v>0</v>
      </c>
      <c r="Q59" s="279">
        <f t="shared" si="2"/>
        <v>0</v>
      </c>
      <c r="R59" s="280">
        <f t="shared" si="3"/>
        <v>0</v>
      </c>
      <c r="S59" s="280">
        <f t="shared" si="4"/>
        <v>0</v>
      </c>
      <c r="T59" s="280">
        <f t="shared" si="5"/>
        <v>0</v>
      </c>
      <c r="U59" s="281">
        <f t="shared" si="6"/>
        <v>0</v>
      </c>
      <c r="V59" s="345"/>
      <c r="W59" s="290"/>
      <c r="X59" s="302"/>
      <c r="Y59" s="348"/>
      <c r="Z59" s="343"/>
      <c r="AA59" s="306"/>
      <c r="AB59" s="281"/>
      <c r="AC59" s="282"/>
      <c r="AD59" s="284"/>
      <c r="AE59" s="283"/>
      <c r="AF59" s="282"/>
      <c r="AG59" s="284"/>
      <c r="AH59" s="283"/>
      <c r="AI59" s="282"/>
      <c r="AJ59" s="282"/>
      <c r="AK59" s="297"/>
      <c r="AL59" s="285"/>
      <c r="AM59" s="285"/>
      <c r="AN59" s="378"/>
      <c r="AO59" s="370"/>
      <c r="AP59" s="253"/>
      <c r="AQ59" s="371"/>
      <c r="AR59" s="373"/>
    </row>
    <row r="60" spans="1:44" s="35" customFormat="1" ht="15.75" x14ac:dyDescent="0.25">
      <c r="A60" s="293"/>
      <c r="B60" s="294"/>
      <c r="C60" s="294"/>
      <c r="D60" s="296"/>
      <c r="E60" s="296"/>
      <c r="F60" s="296"/>
      <c r="G60" s="296"/>
      <c r="H60" s="296"/>
      <c r="I60" s="296"/>
      <c r="J60" s="296"/>
      <c r="K60" s="296"/>
      <c r="L60" s="296"/>
      <c r="M60" s="296"/>
      <c r="N60" s="296"/>
      <c r="O60" s="296"/>
      <c r="P60" s="278">
        <f t="shared" si="1"/>
        <v>0</v>
      </c>
      <c r="Q60" s="279">
        <f t="shared" si="2"/>
        <v>0</v>
      </c>
      <c r="R60" s="280">
        <f t="shared" si="3"/>
        <v>0</v>
      </c>
      <c r="S60" s="280">
        <f t="shared" si="4"/>
        <v>0</v>
      </c>
      <c r="T60" s="280">
        <f t="shared" si="5"/>
        <v>0</v>
      </c>
      <c r="U60" s="281">
        <f t="shared" si="6"/>
        <v>0</v>
      </c>
      <c r="V60" s="345"/>
      <c r="W60" s="290"/>
      <c r="X60" s="302"/>
      <c r="Y60" s="348"/>
      <c r="Z60" s="343"/>
      <c r="AA60" s="306"/>
      <c r="AB60" s="281"/>
      <c r="AC60" s="282"/>
      <c r="AD60" s="284"/>
      <c r="AE60" s="283"/>
      <c r="AF60" s="282"/>
      <c r="AG60" s="284"/>
      <c r="AH60" s="283"/>
      <c r="AI60" s="282"/>
      <c r="AJ60" s="282"/>
      <c r="AK60" s="297"/>
      <c r="AL60" s="285"/>
      <c r="AM60" s="285"/>
      <c r="AN60" s="378"/>
      <c r="AO60" s="370"/>
      <c r="AP60" s="253"/>
      <c r="AQ60" s="371"/>
      <c r="AR60" s="373"/>
    </row>
    <row r="61" spans="1:44" s="35" customFormat="1" ht="15.75" x14ac:dyDescent="0.25">
      <c r="A61" s="293"/>
      <c r="B61" s="294"/>
      <c r="C61" s="294"/>
      <c r="D61" s="296"/>
      <c r="E61" s="296"/>
      <c r="F61" s="296"/>
      <c r="G61" s="296"/>
      <c r="H61" s="296"/>
      <c r="I61" s="296"/>
      <c r="J61" s="296"/>
      <c r="K61" s="296"/>
      <c r="L61" s="296"/>
      <c r="M61" s="296"/>
      <c r="N61" s="296"/>
      <c r="O61" s="296"/>
      <c r="P61" s="278">
        <f t="shared" si="1"/>
        <v>0</v>
      </c>
      <c r="Q61" s="279">
        <f t="shared" si="2"/>
        <v>0</v>
      </c>
      <c r="R61" s="280">
        <f t="shared" si="3"/>
        <v>0</v>
      </c>
      <c r="S61" s="280">
        <f t="shared" si="4"/>
        <v>0</v>
      </c>
      <c r="T61" s="280">
        <f t="shared" si="5"/>
        <v>0</v>
      </c>
      <c r="U61" s="281">
        <f t="shared" si="6"/>
        <v>0</v>
      </c>
      <c r="V61" s="345"/>
      <c r="W61" s="290"/>
      <c r="X61" s="302"/>
      <c r="Y61" s="348"/>
      <c r="Z61" s="343"/>
      <c r="AA61" s="306"/>
      <c r="AB61" s="281"/>
      <c r="AC61" s="282"/>
      <c r="AD61" s="284"/>
      <c r="AE61" s="283"/>
      <c r="AF61" s="282"/>
      <c r="AG61" s="284"/>
      <c r="AH61" s="283"/>
      <c r="AI61" s="282"/>
      <c r="AJ61" s="282"/>
      <c r="AK61" s="297"/>
      <c r="AL61" s="285"/>
      <c r="AM61" s="285"/>
      <c r="AN61" s="378"/>
      <c r="AO61" s="370"/>
      <c r="AP61" s="253"/>
      <c r="AQ61" s="371"/>
      <c r="AR61" s="373"/>
    </row>
    <row r="62" spans="1:44" s="35" customFormat="1" ht="15.75" x14ac:dyDescent="0.25">
      <c r="A62" s="293"/>
      <c r="B62" s="294"/>
      <c r="C62" s="294"/>
      <c r="D62" s="296"/>
      <c r="E62" s="296"/>
      <c r="F62" s="296"/>
      <c r="G62" s="296"/>
      <c r="H62" s="296"/>
      <c r="I62" s="296"/>
      <c r="J62" s="296"/>
      <c r="K62" s="296"/>
      <c r="L62" s="296"/>
      <c r="M62" s="296"/>
      <c r="N62" s="296"/>
      <c r="O62" s="296"/>
      <c r="P62" s="278">
        <f t="shared" si="1"/>
        <v>0</v>
      </c>
      <c r="Q62" s="279">
        <f t="shared" si="2"/>
        <v>0</v>
      </c>
      <c r="R62" s="280">
        <f t="shared" si="3"/>
        <v>0</v>
      </c>
      <c r="S62" s="280">
        <f t="shared" si="4"/>
        <v>0</v>
      </c>
      <c r="T62" s="280">
        <f t="shared" si="5"/>
        <v>0</v>
      </c>
      <c r="U62" s="281">
        <f t="shared" si="6"/>
        <v>0</v>
      </c>
      <c r="V62" s="345"/>
      <c r="W62" s="290"/>
      <c r="X62" s="302"/>
      <c r="Y62" s="348"/>
      <c r="Z62" s="343"/>
      <c r="AA62" s="306"/>
      <c r="AB62" s="281"/>
      <c r="AC62" s="282"/>
      <c r="AD62" s="284"/>
      <c r="AE62" s="283"/>
      <c r="AF62" s="282"/>
      <c r="AG62" s="284"/>
      <c r="AH62" s="283"/>
      <c r="AI62" s="282"/>
      <c r="AJ62" s="282"/>
      <c r="AK62" s="297"/>
      <c r="AL62" s="285"/>
      <c r="AM62" s="285"/>
      <c r="AN62" s="378"/>
      <c r="AO62" s="370"/>
      <c r="AP62" s="253"/>
      <c r="AQ62" s="371"/>
      <c r="AR62" s="373"/>
    </row>
    <row r="63" spans="1:44" s="35" customFormat="1" ht="15.75" x14ac:dyDescent="0.25">
      <c r="A63" s="293"/>
      <c r="B63" s="294"/>
      <c r="C63" s="294"/>
      <c r="D63" s="296"/>
      <c r="E63" s="296"/>
      <c r="F63" s="296"/>
      <c r="G63" s="296"/>
      <c r="H63" s="296"/>
      <c r="I63" s="296"/>
      <c r="J63" s="296"/>
      <c r="K63" s="296"/>
      <c r="L63" s="296"/>
      <c r="M63" s="296"/>
      <c r="N63" s="296"/>
      <c r="O63" s="296"/>
      <c r="P63" s="278">
        <f t="shared" si="1"/>
        <v>0</v>
      </c>
      <c r="Q63" s="279">
        <f t="shared" si="2"/>
        <v>0</v>
      </c>
      <c r="R63" s="280">
        <f t="shared" si="3"/>
        <v>0</v>
      </c>
      <c r="S63" s="280">
        <f t="shared" si="4"/>
        <v>0</v>
      </c>
      <c r="T63" s="280">
        <f t="shared" si="5"/>
        <v>0</v>
      </c>
      <c r="U63" s="281">
        <f t="shared" si="6"/>
        <v>0</v>
      </c>
      <c r="V63" s="345"/>
      <c r="W63" s="290"/>
      <c r="X63" s="302"/>
      <c r="Y63" s="348"/>
      <c r="Z63" s="343"/>
      <c r="AA63" s="306"/>
      <c r="AB63" s="281"/>
      <c r="AC63" s="282"/>
      <c r="AD63" s="284"/>
      <c r="AE63" s="283"/>
      <c r="AF63" s="282"/>
      <c r="AG63" s="284"/>
      <c r="AH63" s="283"/>
      <c r="AI63" s="282"/>
      <c r="AJ63" s="284"/>
      <c r="AK63" s="297"/>
      <c r="AL63" s="285"/>
      <c r="AM63" s="285"/>
      <c r="AN63" s="378"/>
      <c r="AO63" s="370"/>
      <c r="AP63" s="253"/>
      <c r="AQ63" s="371"/>
      <c r="AR63" s="373"/>
    </row>
    <row r="64" spans="1:44" s="19" customFormat="1" ht="15.75" x14ac:dyDescent="0.25">
      <c r="A64" s="293"/>
      <c r="B64" s="294"/>
      <c r="C64" s="294"/>
      <c r="D64" s="296"/>
      <c r="E64" s="296"/>
      <c r="F64" s="296"/>
      <c r="G64" s="296"/>
      <c r="H64" s="296"/>
      <c r="I64" s="296"/>
      <c r="J64" s="296"/>
      <c r="K64" s="296"/>
      <c r="L64" s="296"/>
      <c r="M64" s="296"/>
      <c r="N64" s="296"/>
      <c r="O64" s="296"/>
      <c r="P64" s="278">
        <f t="shared" si="1"/>
        <v>0</v>
      </c>
      <c r="Q64" s="279">
        <f t="shared" si="2"/>
        <v>0</v>
      </c>
      <c r="R64" s="280">
        <f t="shared" si="3"/>
        <v>0</v>
      </c>
      <c r="S64" s="280">
        <f t="shared" si="4"/>
        <v>0</v>
      </c>
      <c r="T64" s="280">
        <f t="shared" si="5"/>
        <v>0</v>
      </c>
      <c r="U64" s="281">
        <f t="shared" si="6"/>
        <v>0</v>
      </c>
      <c r="V64" s="345"/>
      <c r="W64" s="290"/>
      <c r="X64" s="302"/>
      <c r="Y64" s="348"/>
      <c r="Z64" s="343"/>
      <c r="AA64" s="306"/>
      <c r="AB64" s="281"/>
      <c r="AC64" s="282"/>
      <c r="AD64" s="284"/>
      <c r="AE64" s="283"/>
      <c r="AF64" s="282"/>
      <c r="AG64" s="284"/>
      <c r="AH64" s="283"/>
      <c r="AI64" s="282"/>
      <c r="AJ64" s="282"/>
      <c r="AK64" s="297"/>
      <c r="AL64" s="285"/>
      <c r="AM64" s="285"/>
      <c r="AN64" s="378"/>
      <c r="AO64" s="370"/>
      <c r="AP64" s="253"/>
      <c r="AQ64" s="371"/>
      <c r="AR64" s="373"/>
    </row>
    <row r="65" spans="1:44" s="19" customFormat="1" ht="15.75" x14ac:dyDescent="0.25">
      <c r="A65" s="293"/>
      <c r="B65" s="294"/>
      <c r="C65" s="294"/>
      <c r="D65" s="296"/>
      <c r="E65" s="296"/>
      <c r="F65" s="296"/>
      <c r="G65" s="296"/>
      <c r="H65" s="296"/>
      <c r="I65" s="296"/>
      <c r="J65" s="296"/>
      <c r="K65" s="296"/>
      <c r="L65" s="296"/>
      <c r="M65" s="296"/>
      <c r="N65" s="296"/>
      <c r="O65" s="296"/>
      <c r="P65" s="278">
        <f t="shared" si="1"/>
        <v>0</v>
      </c>
      <c r="Q65" s="279">
        <f t="shared" si="2"/>
        <v>0</v>
      </c>
      <c r="R65" s="280">
        <f t="shared" si="3"/>
        <v>0</v>
      </c>
      <c r="S65" s="280">
        <f t="shared" si="4"/>
        <v>0</v>
      </c>
      <c r="T65" s="280">
        <f t="shared" si="5"/>
        <v>0</v>
      </c>
      <c r="U65" s="281">
        <f t="shared" si="6"/>
        <v>0</v>
      </c>
      <c r="V65" s="345"/>
      <c r="W65" s="290"/>
      <c r="X65" s="302"/>
      <c r="Y65" s="348"/>
      <c r="Z65" s="343"/>
      <c r="AA65" s="306"/>
      <c r="AB65" s="281"/>
      <c r="AC65" s="282"/>
      <c r="AD65" s="284"/>
      <c r="AE65" s="283"/>
      <c r="AF65" s="282"/>
      <c r="AG65" s="284"/>
      <c r="AH65" s="283"/>
      <c r="AI65" s="282"/>
      <c r="AJ65" s="282"/>
      <c r="AK65" s="297"/>
      <c r="AL65" s="285"/>
      <c r="AM65" s="285"/>
      <c r="AN65" s="378"/>
      <c r="AO65" s="370"/>
      <c r="AP65" s="253"/>
      <c r="AQ65" s="371"/>
      <c r="AR65" s="373"/>
    </row>
    <row r="66" spans="1:44" s="19" customFormat="1" ht="15.75" x14ac:dyDescent="0.25">
      <c r="A66" s="293"/>
      <c r="B66" s="294"/>
      <c r="C66" s="294"/>
      <c r="D66" s="296"/>
      <c r="E66" s="296"/>
      <c r="F66" s="296"/>
      <c r="G66" s="296"/>
      <c r="H66" s="296"/>
      <c r="I66" s="296"/>
      <c r="J66" s="296"/>
      <c r="K66" s="296"/>
      <c r="L66" s="296"/>
      <c r="M66" s="296"/>
      <c r="N66" s="296"/>
      <c r="O66" s="296"/>
      <c r="P66" s="278">
        <f t="shared" si="1"/>
        <v>0</v>
      </c>
      <c r="Q66" s="279">
        <f t="shared" si="2"/>
        <v>0</v>
      </c>
      <c r="R66" s="280">
        <f t="shared" si="3"/>
        <v>0</v>
      </c>
      <c r="S66" s="280">
        <f t="shared" si="4"/>
        <v>0</v>
      </c>
      <c r="T66" s="280">
        <f t="shared" si="5"/>
        <v>0</v>
      </c>
      <c r="U66" s="281">
        <f t="shared" si="6"/>
        <v>0</v>
      </c>
      <c r="V66" s="345"/>
      <c r="W66" s="290"/>
      <c r="X66" s="302"/>
      <c r="Y66" s="348"/>
      <c r="Z66" s="343"/>
      <c r="AA66" s="306"/>
      <c r="AB66" s="281"/>
      <c r="AC66" s="282"/>
      <c r="AD66" s="284"/>
      <c r="AE66" s="283"/>
      <c r="AF66" s="282"/>
      <c r="AG66" s="284"/>
      <c r="AH66" s="283"/>
      <c r="AI66" s="282"/>
      <c r="AJ66" s="282"/>
      <c r="AK66" s="297"/>
      <c r="AL66" s="285"/>
      <c r="AM66" s="298"/>
      <c r="AN66" s="378"/>
      <c r="AO66" s="370"/>
      <c r="AP66" s="253"/>
      <c r="AQ66" s="371"/>
      <c r="AR66" s="373"/>
    </row>
    <row r="67" spans="1:44" s="19" customFormat="1" ht="15.75" x14ac:dyDescent="0.25">
      <c r="A67" s="293"/>
      <c r="B67" s="294"/>
      <c r="C67" s="294"/>
      <c r="D67" s="295"/>
      <c r="E67" s="296"/>
      <c r="F67" s="295"/>
      <c r="G67" s="295"/>
      <c r="H67" s="296"/>
      <c r="I67" s="295"/>
      <c r="J67" s="294"/>
      <c r="K67" s="295"/>
      <c r="L67" s="296"/>
      <c r="M67" s="296"/>
      <c r="N67" s="295"/>
      <c r="O67" s="296"/>
      <c r="P67" s="278">
        <f t="shared" ref="P67:P94" si="7">SUM(Q67:U67)</f>
        <v>0</v>
      </c>
      <c r="Q67" s="279">
        <f t="shared" si="2"/>
        <v>0</v>
      </c>
      <c r="R67" s="280">
        <f t="shared" ref="R67:R94" si="8">SUM(Y67:AA67)</f>
        <v>0</v>
      </c>
      <c r="S67" s="280">
        <f t="shared" ref="S67:S94" si="9">SUM(AB67:AD67)</f>
        <v>0</v>
      </c>
      <c r="T67" s="280">
        <f t="shared" ref="T67:T94" si="10">SUM(AE67:AG67)</f>
        <v>0</v>
      </c>
      <c r="U67" s="281">
        <f t="shared" ref="U67:U94" si="11">SUM(AH67:AJ67)</f>
        <v>0</v>
      </c>
      <c r="V67" s="345"/>
      <c r="W67" s="290"/>
      <c r="X67" s="302"/>
      <c r="Y67" s="348"/>
      <c r="Z67" s="343"/>
      <c r="AA67" s="306"/>
      <c r="AB67" s="281"/>
      <c r="AC67" s="282"/>
      <c r="AD67" s="284"/>
      <c r="AE67" s="283"/>
      <c r="AF67" s="282"/>
      <c r="AG67" s="284"/>
      <c r="AH67" s="283"/>
      <c r="AI67" s="282"/>
      <c r="AJ67" s="282"/>
      <c r="AK67" s="297"/>
      <c r="AL67" s="285"/>
      <c r="AM67" s="298"/>
      <c r="AN67" s="378"/>
      <c r="AO67" s="370"/>
      <c r="AP67" s="253"/>
      <c r="AQ67" s="371"/>
      <c r="AR67" s="373"/>
    </row>
    <row r="68" spans="1:44" s="19" customFormat="1" ht="15.75" x14ac:dyDescent="0.25">
      <c r="A68" s="293"/>
      <c r="B68" s="294"/>
      <c r="C68" s="294"/>
      <c r="D68" s="295"/>
      <c r="E68" s="296"/>
      <c r="F68" s="295"/>
      <c r="G68" s="295"/>
      <c r="H68" s="299"/>
      <c r="I68" s="300"/>
      <c r="J68" s="301"/>
      <c r="K68" s="300"/>
      <c r="L68" s="299"/>
      <c r="M68" s="299"/>
      <c r="N68" s="299"/>
      <c r="O68" s="300"/>
      <c r="P68" s="278">
        <f t="shared" si="7"/>
        <v>0</v>
      </c>
      <c r="Q68" s="279">
        <f t="shared" si="2"/>
        <v>0</v>
      </c>
      <c r="R68" s="280">
        <f t="shared" si="8"/>
        <v>0</v>
      </c>
      <c r="S68" s="280">
        <f t="shared" si="9"/>
        <v>0</v>
      </c>
      <c r="T68" s="280">
        <f t="shared" si="10"/>
        <v>0</v>
      </c>
      <c r="U68" s="281">
        <f t="shared" si="11"/>
        <v>0</v>
      </c>
      <c r="V68" s="345"/>
      <c r="W68" s="290"/>
      <c r="X68" s="302"/>
      <c r="Y68" s="348"/>
      <c r="Z68" s="343"/>
      <c r="AA68" s="306"/>
      <c r="AB68" s="303"/>
      <c r="AC68" s="304"/>
      <c r="AD68" s="306"/>
      <c r="AE68" s="305"/>
      <c r="AF68" s="304"/>
      <c r="AG68" s="306"/>
      <c r="AH68" s="305"/>
      <c r="AI68" s="304"/>
      <c r="AJ68" s="304"/>
      <c r="AK68" s="382"/>
      <c r="AL68" s="285"/>
      <c r="AM68" s="298"/>
      <c r="AN68" s="378"/>
      <c r="AO68" s="370"/>
      <c r="AP68" s="253"/>
      <c r="AQ68" s="371"/>
      <c r="AR68" s="373"/>
    </row>
    <row r="69" spans="1:44" s="19" customFormat="1" ht="15.75" x14ac:dyDescent="0.25">
      <c r="A69" s="293"/>
      <c r="B69" s="294"/>
      <c r="C69" s="294"/>
      <c r="D69" s="295"/>
      <c r="E69" s="296"/>
      <c r="F69" s="295"/>
      <c r="G69" s="295"/>
      <c r="H69" s="299"/>
      <c r="I69" s="300"/>
      <c r="J69" s="301"/>
      <c r="K69" s="300"/>
      <c r="L69" s="299"/>
      <c r="M69" s="299"/>
      <c r="N69" s="299"/>
      <c r="O69" s="300"/>
      <c r="P69" s="278">
        <f t="shared" si="7"/>
        <v>0</v>
      </c>
      <c r="Q69" s="279">
        <f t="shared" si="2"/>
        <v>0</v>
      </c>
      <c r="R69" s="280">
        <f t="shared" si="8"/>
        <v>0</v>
      </c>
      <c r="S69" s="280">
        <f t="shared" si="9"/>
        <v>0</v>
      </c>
      <c r="T69" s="280">
        <f t="shared" si="10"/>
        <v>0</v>
      </c>
      <c r="U69" s="281">
        <f t="shared" si="11"/>
        <v>0</v>
      </c>
      <c r="V69" s="345"/>
      <c r="W69" s="290"/>
      <c r="X69" s="302"/>
      <c r="Y69" s="348"/>
      <c r="Z69" s="343"/>
      <c r="AA69" s="306"/>
      <c r="AB69" s="303"/>
      <c r="AC69" s="304"/>
      <c r="AD69" s="306"/>
      <c r="AE69" s="305"/>
      <c r="AF69" s="304"/>
      <c r="AG69" s="306"/>
      <c r="AH69" s="305"/>
      <c r="AI69" s="304"/>
      <c r="AJ69" s="304"/>
      <c r="AK69" s="382"/>
      <c r="AL69" s="285"/>
      <c r="AM69" s="298"/>
      <c r="AN69" s="378"/>
      <c r="AO69" s="370"/>
      <c r="AP69" s="253"/>
      <c r="AQ69" s="371"/>
      <c r="AR69" s="373"/>
    </row>
    <row r="70" spans="1:44" s="35" customFormat="1" ht="15.75" x14ac:dyDescent="0.25">
      <c r="A70" s="293"/>
      <c r="B70" s="294"/>
      <c r="C70" s="294"/>
      <c r="D70" s="295"/>
      <c r="E70" s="296"/>
      <c r="F70" s="295"/>
      <c r="G70" s="295"/>
      <c r="H70" s="296"/>
      <c r="I70" s="295"/>
      <c r="J70" s="325"/>
      <c r="K70" s="295"/>
      <c r="L70" s="296"/>
      <c r="M70" s="296"/>
      <c r="N70" s="295"/>
      <c r="O70" s="296"/>
      <c r="P70" s="278">
        <f t="shared" si="7"/>
        <v>0</v>
      </c>
      <c r="Q70" s="279">
        <f t="shared" si="2"/>
        <v>0</v>
      </c>
      <c r="R70" s="280">
        <f t="shared" si="8"/>
        <v>0</v>
      </c>
      <c r="S70" s="280">
        <f t="shared" si="9"/>
        <v>0</v>
      </c>
      <c r="T70" s="280">
        <f t="shared" si="10"/>
        <v>0</v>
      </c>
      <c r="U70" s="281">
        <f t="shared" si="11"/>
        <v>0</v>
      </c>
      <c r="V70" s="345"/>
      <c r="W70" s="290"/>
      <c r="X70" s="302"/>
      <c r="Y70" s="348"/>
      <c r="Z70" s="343"/>
      <c r="AA70" s="306"/>
      <c r="AB70" s="281"/>
      <c r="AC70" s="282"/>
      <c r="AD70" s="284"/>
      <c r="AE70" s="283"/>
      <c r="AF70" s="282"/>
      <c r="AG70" s="284"/>
      <c r="AH70" s="283"/>
      <c r="AI70" s="282"/>
      <c r="AJ70" s="282"/>
      <c r="AK70" s="297"/>
      <c r="AL70" s="285"/>
      <c r="AM70" s="285"/>
      <c r="AN70" s="378"/>
      <c r="AO70" s="370"/>
      <c r="AP70" s="253"/>
      <c r="AQ70" s="371"/>
      <c r="AR70" s="373"/>
    </row>
    <row r="71" spans="1:44" s="35" customFormat="1" ht="15.75" x14ac:dyDescent="0.25">
      <c r="A71" s="293"/>
      <c r="B71" s="294"/>
      <c r="C71" s="294"/>
      <c r="D71" s="295"/>
      <c r="E71" s="296"/>
      <c r="F71" s="295"/>
      <c r="G71" s="295"/>
      <c r="H71" s="296"/>
      <c r="I71" s="295"/>
      <c r="J71" s="296"/>
      <c r="K71" s="295"/>
      <c r="L71" s="296"/>
      <c r="M71" s="296"/>
      <c r="N71" s="295"/>
      <c r="O71" s="296"/>
      <c r="P71" s="278">
        <f t="shared" si="7"/>
        <v>0</v>
      </c>
      <c r="Q71" s="279">
        <f t="shared" si="2"/>
        <v>0</v>
      </c>
      <c r="R71" s="280">
        <f t="shared" si="8"/>
        <v>0</v>
      </c>
      <c r="S71" s="280">
        <f t="shared" si="9"/>
        <v>0</v>
      </c>
      <c r="T71" s="280">
        <f t="shared" si="10"/>
        <v>0</v>
      </c>
      <c r="U71" s="281">
        <f t="shared" si="11"/>
        <v>0</v>
      </c>
      <c r="V71" s="345"/>
      <c r="W71" s="290"/>
      <c r="X71" s="302"/>
      <c r="Y71" s="348"/>
      <c r="Z71" s="343"/>
      <c r="AA71" s="306"/>
      <c r="AB71" s="281"/>
      <c r="AC71" s="282"/>
      <c r="AD71" s="284"/>
      <c r="AE71" s="283"/>
      <c r="AF71" s="282"/>
      <c r="AG71" s="284"/>
      <c r="AH71" s="283"/>
      <c r="AI71" s="282"/>
      <c r="AJ71" s="284"/>
      <c r="AK71" s="297"/>
      <c r="AL71" s="285"/>
      <c r="AM71" s="285"/>
      <c r="AN71" s="378"/>
      <c r="AO71" s="370"/>
      <c r="AP71" s="253"/>
      <c r="AQ71" s="371"/>
      <c r="AR71" s="373"/>
    </row>
    <row r="72" spans="1:44" s="19" customFormat="1" ht="15.75" x14ac:dyDescent="0.25">
      <c r="A72" s="293"/>
      <c r="B72" s="294"/>
      <c r="C72" s="294"/>
      <c r="D72" s="295"/>
      <c r="E72" s="296"/>
      <c r="F72" s="300"/>
      <c r="G72" s="300"/>
      <c r="H72" s="299"/>
      <c r="I72" s="301"/>
      <c r="J72" s="301"/>
      <c r="K72" s="301"/>
      <c r="L72" s="299"/>
      <c r="M72" s="299"/>
      <c r="N72" s="299"/>
      <c r="O72" s="296"/>
      <c r="P72" s="278">
        <f t="shared" si="7"/>
        <v>0</v>
      </c>
      <c r="Q72" s="279">
        <f t="shared" si="2"/>
        <v>0</v>
      </c>
      <c r="R72" s="280">
        <f t="shared" si="8"/>
        <v>0</v>
      </c>
      <c r="S72" s="280">
        <f t="shared" si="9"/>
        <v>0</v>
      </c>
      <c r="T72" s="280">
        <f t="shared" si="10"/>
        <v>0</v>
      </c>
      <c r="U72" s="281">
        <f t="shared" si="11"/>
        <v>0</v>
      </c>
      <c r="V72" s="345"/>
      <c r="W72" s="290"/>
      <c r="X72" s="302"/>
      <c r="Y72" s="348"/>
      <c r="Z72" s="343"/>
      <c r="AA72" s="306"/>
      <c r="AB72" s="336"/>
      <c r="AC72" s="308"/>
      <c r="AD72" s="309"/>
      <c r="AE72" s="307"/>
      <c r="AF72" s="308"/>
      <c r="AG72" s="309"/>
      <c r="AH72" s="307"/>
      <c r="AI72" s="308"/>
      <c r="AJ72" s="309"/>
      <c r="AK72" s="382"/>
      <c r="AL72" s="285"/>
      <c r="AM72" s="298"/>
      <c r="AN72" s="378"/>
      <c r="AO72" s="370"/>
      <c r="AP72" s="253"/>
      <c r="AQ72" s="371"/>
      <c r="AR72" s="373"/>
    </row>
    <row r="73" spans="1:44" s="19" customFormat="1" ht="15.75" x14ac:dyDescent="0.25">
      <c r="A73" s="293"/>
      <c r="B73" s="294"/>
      <c r="C73" s="294"/>
      <c r="D73" s="295"/>
      <c r="E73" s="296"/>
      <c r="F73" s="300"/>
      <c r="G73" s="300"/>
      <c r="H73" s="299"/>
      <c r="I73" s="301"/>
      <c r="J73" s="301"/>
      <c r="K73" s="301"/>
      <c r="L73" s="299"/>
      <c r="M73" s="299"/>
      <c r="N73" s="299"/>
      <c r="O73" s="296"/>
      <c r="P73" s="278">
        <f t="shared" si="7"/>
        <v>0</v>
      </c>
      <c r="Q73" s="279">
        <f t="shared" si="2"/>
        <v>0</v>
      </c>
      <c r="R73" s="280">
        <f t="shared" si="8"/>
        <v>0</v>
      </c>
      <c r="S73" s="280">
        <f t="shared" si="9"/>
        <v>0</v>
      </c>
      <c r="T73" s="280">
        <f t="shared" si="10"/>
        <v>0</v>
      </c>
      <c r="U73" s="281">
        <f t="shared" si="11"/>
        <v>0</v>
      </c>
      <c r="V73" s="345"/>
      <c r="W73" s="290"/>
      <c r="X73" s="302"/>
      <c r="Y73" s="348"/>
      <c r="Z73" s="343"/>
      <c r="AA73" s="306"/>
      <c r="AB73" s="303"/>
      <c r="AC73" s="304"/>
      <c r="AD73" s="306"/>
      <c r="AE73" s="303"/>
      <c r="AF73" s="304"/>
      <c r="AG73" s="306"/>
      <c r="AH73" s="303"/>
      <c r="AI73" s="304"/>
      <c r="AJ73" s="306"/>
      <c r="AK73" s="382"/>
      <c r="AL73" s="285"/>
      <c r="AM73" s="298"/>
      <c r="AN73" s="378"/>
      <c r="AO73" s="370"/>
      <c r="AP73" s="253"/>
      <c r="AQ73" s="371"/>
      <c r="AR73" s="373"/>
    </row>
    <row r="74" spans="1:44" s="19" customFormat="1" ht="15.75" x14ac:dyDescent="0.25">
      <c r="A74" s="293"/>
      <c r="B74" s="294"/>
      <c r="C74" s="294"/>
      <c r="D74" s="295"/>
      <c r="E74" s="296"/>
      <c r="F74" s="300"/>
      <c r="G74" s="300"/>
      <c r="H74" s="299"/>
      <c r="I74" s="301"/>
      <c r="J74" s="301"/>
      <c r="K74" s="301"/>
      <c r="L74" s="299"/>
      <c r="M74" s="299"/>
      <c r="N74" s="299"/>
      <c r="O74" s="296"/>
      <c r="P74" s="278">
        <f t="shared" si="7"/>
        <v>0</v>
      </c>
      <c r="Q74" s="279">
        <f t="shared" si="2"/>
        <v>0</v>
      </c>
      <c r="R74" s="280">
        <f t="shared" si="8"/>
        <v>0</v>
      </c>
      <c r="S74" s="280">
        <f t="shared" si="9"/>
        <v>0</v>
      </c>
      <c r="T74" s="280">
        <f t="shared" si="10"/>
        <v>0</v>
      </c>
      <c r="U74" s="281">
        <f t="shared" si="11"/>
        <v>0</v>
      </c>
      <c r="V74" s="345"/>
      <c r="W74" s="290"/>
      <c r="X74" s="302"/>
      <c r="Y74" s="348"/>
      <c r="Z74" s="343"/>
      <c r="AA74" s="306"/>
      <c r="AB74" s="303"/>
      <c r="AC74" s="304"/>
      <c r="AD74" s="306"/>
      <c r="AE74" s="303"/>
      <c r="AF74" s="304"/>
      <c r="AG74" s="306"/>
      <c r="AH74" s="303"/>
      <c r="AI74" s="304"/>
      <c r="AJ74" s="306"/>
      <c r="AK74" s="382"/>
      <c r="AL74" s="285"/>
      <c r="AM74" s="298"/>
      <c r="AN74" s="378"/>
      <c r="AO74" s="370"/>
      <c r="AP74" s="253"/>
      <c r="AQ74" s="371"/>
      <c r="AR74" s="373"/>
    </row>
    <row r="75" spans="1:44" s="19" customFormat="1" ht="15.75" x14ac:dyDescent="0.25">
      <c r="A75" s="293"/>
      <c r="B75" s="294"/>
      <c r="C75" s="294"/>
      <c r="D75" s="295"/>
      <c r="E75" s="296"/>
      <c r="F75" s="300"/>
      <c r="G75" s="300"/>
      <c r="H75" s="299"/>
      <c r="I75" s="301"/>
      <c r="J75" s="301"/>
      <c r="K75" s="301"/>
      <c r="L75" s="299"/>
      <c r="M75" s="299"/>
      <c r="N75" s="299"/>
      <c r="O75" s="296"/>
      <c r="P75" s="278">
        <f t="shared" si="7"/>
        <v>0</v>
      </c>
      <c r="Q75" s="279">
        <f t="shared" si="2"/>
        <v>0</v>
      </c>
      <c r="R75" s="280">
        <f t="shared" si="8"/>
        <v>0</v>
      </c>
      <c r="S75" s="280">
        <f t="shared" si="9"/>
        <v>0</v>
      </c>
      <c r="T75" s="280">
        <f t="shared" si="10"/>
        <v>0</v>
      </c>
      <c r="U75" s="281">
        <f t="shared" si="11"/>
        <v>0</v>
      </c>
      <c r="V75" s="345"/>
      <c r="W75" s="290"/>
      <c r="X75" s="302"/>
      <c r="Y75" s="348"/>
      <c r="Z75" s="343"/>
      <c r="AA75" s="306"/>
      <c r="AB75" s="303"/>
      <c r="AC75" s="304"/>
      <c r="AD75" s="306"/>
      <c r="AE75" s="303"/>
      <c r="AF75" s="304"/>
      <c r="AG75" s="306"/>
      <c r="AH75" s="303"/>
      <c r="AI75" s="304"/>
      <c r="AJ75" s="306"/>
      <c r="AK75" s="382"/>
      <c r="AL75" s="285"/>
      <c r="AM75" s="298"/>
      <c r="AN75" s="378"/>
      <c r="AO75" s="370"/>
      <c r="AP75" s="253"/>
      <c r="AQ75" s="371"/>
      <c r="AR75" s="373"/>
    </row>
    <row r="76" spans="1:44" s="19" customFormat="1" ht="15.75" x14ac:dyDescent="0.25">
      <c r="A76" s="293"/>
      <c r="B76" s="294"/>
      <c r="C76" s="294"/>
      <c r="D76" s="295"/>
      <c r="E76" s="296"/>
      <c r="F76" s="300"/>
      <c r="G76" s="300"/>
      <c r="H76" s="299"/>
      <c r="I76" s="301"/>
      <c r="J76" s="301"/>
      <c r="K76" s="301"/>
      <c r="L76" s="299"/>
      <c r="M76" s="299"/>
      <c r="N76" s="299"/>
      <c r="O76" s="296"/>
      <c r="P76" s="278">
        <f t="shared" si="7"/>
        <v>0</v>
      </c>
      <c r="Q76" s="279">
        <f t="shared" si="2"/>
        <v>0</v>
      </c>
      <c r="R76" s="280">
        <f t="shared" si="8"/>
        <v>0</v>
      </c>
      <c r="S76" s="280">
        <f t="shared" si="9"/>
        <v>0</v>
      </c>
      <c r="T76" s="280">
        <f t="shared" si="10"/>
        <v>0</v>
      </c>
      <c r="U76" s="281">
        <f t="shared" si="11"/>
        <v>0</v>
      </c>
      <c r="V76" s="345"/>
      <c r="W76" s="290"/>
      <c r="X76" s="302"/>
      <c r="Y76" s="348"/>
      <c r="Z76" s="343"/>
      <c r="AA76" s="306"/>
      <c r="AB76" s="303"/>
      <c r="AC76" s="304"/>
      <c r="AD76" s="306"/>
      <c r="AE76" s="303"/>
      <c r="AF76" s="304"/>
      <c r="AG76" s="306"/>
      <c r="AH76" s="303"/>
      <c r="AI76" s="304"/>
      <c r="AJ76" s="306"/>
      <c r="AK76" s="382"/>
      <c r="AL76" s="285"/>
      <c r="AM76" s="298"/>
      <c r="AN76" s="378"/>
      <c r="AO76" s="370"/>
      <c r="AP76" s="253"/>
      <c r="AQ76" s="371"/>
      <c r="AR76" s="373"/>
    </row>
    <row r="77" spans="1:44" s="19" customFormat="1" ht="15.75" x14ac:dyDescent="0.25">
      <c r="A77" s="293"/>
      <c r="B77" s="294"/>
      <c r="C77" s="294"/>
      <c r="D77" s="295"/>
      <c r="E77" s="296"/>
      <c r="F77" s="300"/>
      <c r="G77" s="300"/>
      <c r="H77" s="299"/>
      <c r="I77" s="301"/>
      <c r="J77" s="301"/>
      <c r="K77" s="301"/>
      <c r="L77" s="299"/>
      <c r="M77" s="299"/>
      <c r="N77" s="299"/>
      <c r="O77" s="296"/>
      <c r="P77" s="278">
        <f t="shared" si="7"/>
        <v>0</v>
      </c>
      <c r="Q77" s="279">
        <f t="shared" si="2"/>
        <v>0</v>
      </c>
      <c r="R77" s="280">
        <f t="shared" si="8"/>
        <v>0</v>
      </c>
      <c r="S77" s="280">
        <f t="shared" si="9"/>
        <v>0</v>
      </c>
      <c r="T77" s="280">
        <f t="shared" si="10"/>
        <v>0</v>
      </c>
      <c r="U77" s="281">
        <f t="shared" si="11"/>
        <v>0</v>
      </c>
      <c r="V77" s="345"/>
      <c r="W77" s="290"/>
      <c r="X77" s="302"/>
      <c r="Y77" s="348"/>
      <c r="Z77" s="343"/>
      <c r="AA77" s="306"/>
      <c r="AB77" s="336"/>
      <c r="AC77" s="308"/>
      <c r="AD77" s="309"/>
      <c r="AE77" s="307"/>
      <c r="AF77" s="308"/>
      <c r="AG77" s="309"/>
      <c r="AH77" s="307"/>
      <c r="AI77" s="308"/>
      <c r="AJ77" s="309"/>
      <c r="AK77" s="382"/>
      <c r="AL77" s="285"/>
      <c r="AM77" s="298"/>
      <c r="AN77" s="378"/>
      <c r="AO77" s="370"/>
      <c r="AP77" s="253"/>
      <c r="AQ77" s="371"/>
      <c r="AR77" s="373"/>
    </row>
    <row r="78" spans="1:44" s="19" customFormat="1" ht="15.75" x14ac:dyDescent="0.25">
      <c r="A78" s="293"/>
      <c r="B78" s="294"/>
      <c r="C78" s="294"/>
      <c r="D78" s="295"/>
      <c r="E78" s="296"/>
      <c r="F78" s="300"/>
      <c r="G78" s="300"/>
      <c r="H78" s="299"/>
      <c r="I78" s="301"/>
      <c r="J78" s="301"/>
      <c r="K78" s="301"/>
      <c r="L78" s="299"/>
      <c r="M78" s="299"/>
      <c r="N78" s="299"/>
      <c r="O78" s="296"/>
      <c r="P78" s="278">
        <f t="shared" si="7"/>
        <v>0</v>
      </c>
      <c r="Q78" s="279">
        <f t="shared" si="2"/>
        <v>0</v>
      </c>
      <c r="R78" s="280">
        <f t="shared" si="8"/>
        <v>0</v>
      </c>
      <c r="S78" s="280">
        <f t="shared" si="9"/>
        <v>0</v>
      </c>
      <c r="T78" s="280">
        <f t="shared" si="10"/>
        <v>0</v>
      </c>
      <c r="U78" s="281">
        <f t="shared" si="11"/>
        <v>0</v>
      </c>
      <c r="V78" s="345"/>
      <c r="W78" s="290"/>
      <c r="X78" s="302"/>
      <c r="Y78" s="348"/>
      <c r="Z78" s="343"/>
      <c r="AA78" s="306"/>
      <c r="AB78" s="336"/>
      <c r="AC78" s="308"/>
      <c r="AD78" s="309"/>
      <c r="AE78" s="307"/>
      <c r="AF78" s="308"/>
      <c r="AG78" s="309"/>
      <c r="AH78" s="307"/>
      <c r="AI78" s="308"/>
      <c r="AJ78" s="309"/>
      <c r="AK78" s="382"/>
      <c r="AL78" s="285"/>
      <c r="AM78" s="298"/>
      <c r="AN78" s="378"/>
      <c r="AO78" s="370"/>
      <c r="AP78" s="253"/>
      <c r="AQ78" s="371"/>
      <c r="AR78" s="373"/>
    </row>
    <row r="79" spans="1:44" s="19" customFormat="1" ht="15.75" x14ac:dyDescent="0.25">
      <c r="A79" s="293"/>
      <c r="B79" s="294"/>
      <c r="C79" s="294"/>
      <c r="D79" s="295"/>
      <c r="E79" s="296"/>
      <c r="F79" s="300"/>
      <c r="G79" s="300"/>
      <c r="H79" s="299"/>
      <c r="I79" s="301"/>
      <c r="J79" s="301"/>
      <c r="K79" s="301"/>
      <c r="L79" s="299"/>
      <c r="M79" s="299"/>
      <c r="N79" s="299"/>
      <c r="O79" s="296"/>
      <c r="P79" s="278">
        <f t="shared" si="7"/>
        <v>0</v>
      </c>
      <c r="Q79" s="279">
        <f t="shared" si="2"/>
        <v>0</v>
      </c>
      <c r="R79" s="280">
        <f t="shared" si="8"/>
        <v>0</v>
      </c>
      <c r="S79" s="280">
        <f t="shared" si="9"/>
        <v>0</v>
      </c>
      <c r="T79" s="280">
        <f t="shared" si="10"/>
        <v>0</v>
      </c>
      <c r="U79" s="281">
        <f t="shared" si="11"/>
        <v>0</v>
      </c>
      <c r="V79" s="345"/>
      <c r="W79" s="290"/>
      <c r="X79" s="302"/>
      <c r="Y79" s="348"/>
      <c r="Z79" s="343"/>
      <c r="AA79" s="306"/>
      <c r="AB79" s="336"/>
      <c r="AC79" s="308"/>
      <c r="AD79" s="309"/>
      <c r="AE79" s="307"/>
      <c r="AF79" s="308"/>
      <c r="AG79" s="309"/>
      <c r="AH79" s="307"/>
      <c r="AI79" s="308"/>
      <c r="AJ79" s="309"/>
      <c r="AK79" s="382"/>
      <c r="AL79" s="285"/>
      <c r="AM79" s="298"/>
      <c r="AN79" s="378"/>
      <c r="AO79" s="370"/>
      <c r="AP79" s="253"/>
      <c r="AQ79" s="371"/>
      <c r="AR79" s="373"/>
    </row>
    <row r="80" spans="1:44" s="19" customFormat="1" ht="15.75" x14ac:dyDescent="0.25">
      <c r="A80" s="293"/>
      <c r="B80" s="294"/>
      <c r="C80" s="294"/>
      <c r="D80" s="295"/>
      <c r="E80" s="296"/>
      <c r="F80" s="300"/>
      <c r="G80" s="300"/>
      <c r="H80" s="299"/>
      <c r="I80" s="301"/>
      <c r="J80" s="301"/>
      <c r="K80" s="301"/>
      <c r="L80" s="299"/>
      <c r="M80" s="299"/>
      <c r="N80" s="299"/>
      <c r="O80" s="296"/>
      <c r="P80" s="278">
        <f t="shared" si="7"/>
        <v>0</v>
      </c>
      <c r="Q80" s="279">
        <f t="shared" si="2"/>
        <v>0</v>
      </c>
      <c r="R80" s="280">
        <f t="shared" si="8"/>
        <v>0</v>
      </c>
      <c r="S80" s="280">
        <f t="shared" si="9"/>
        <v>0</v>
      </c>
      <c r="T80" s="280">
        <f t="shared" si="10"/>
        <v>0</v>
      </c>
      <c r="U80" s="281">
        <f t="shared" si="11"/>
        <v>0</v>
      </c>
      <c r="V80" s="345"/>
      <c r="W80" s="290"/>
      <c r="X80" s="302"/>
      <c r="Y80" s="348"/>
      <c r="Z80" s="343"/>
      <c r="AA80" s="306"/>
      <c r="AB80" s="336"/>
      <c r="AC80" s="308"/>
      <c r="AD80" s="309"/>
      <c r="AE80" s="307"/>
      <c r="AF80" s="308"/>
      <c r="AG80" s="309"/>
      <c r="AH80" s="307"/>
      <c r="AI80" s="308"/>
      <c r="AJ80" s="309"/>
      <c r="AK80" s="382"/>
      <c r="AL80" s="285"/>
      <c r="AM80" s="298"/>
      <c r="AN80" s="378"/>
      <c r="AO80" s="370"/>
      <c r="AP80" s="253"/>
      <c r="AQ80" s="371"/>
      <c r="AR80" s="373"/>
    </row>
    <row r="81" spans="1:44" s="19" customFormat="1" ht="15.75" x14ac:dyDescent="0.25">
      <c r="A81" s="293"/>
      <c r="B81" s="294"/>
      <c r="C81" s="294"/>
      <c r="D81" s="295"/>
      <c r="E81" s="296"/>
      <c r="F81" s="300"/>
      <c r="G81" s="300"/>
      <c r="H81" s="299"/>
      <c r="I81" s="301"/>
      <c r="J81" s="301"/>
      <c r="K81" s="301"/>
      <c r="L81" s="299"/>
      <c r="M81" s="299"/>
      <c r="N81" s="299"/>
      <c r="O81" s="296"/>
      <c r="P81" s="278">
        <f t="shared" si="7"/>
        <v>0</v>
      </c>
      <c r="Q81" s="279">
        <f t="shared" si="2"/>
        <v>0</v>
      </c>
      <c r="R81" s="280">
        <f t="shared" si="8"/>
        <v>0</v>
      </c>
      <c r="S81" s="280">
        <f t="shared" si="9"/>
        <v>0</v>
      </c>
      <c r="T81" s="280">
        <f t="shared" si="10"/>
        <v>0</v>
      </c>
      <c r="U81" s="281">
        <f t="shared" si="11"/>
        <v>0</v>
      </c>
      <c r="V81" s="345"/>
      <c r="W81" s="290"/>
      <c r="X81" s="302"/>
      <c r="Y81" s="348"/>
      <c r="Z81" s="343"/>
      <c r="AA81" s="306"/>
      <c r="AB81" s="336"/>
      <c r="AC81" s="308"/>
      <c r="AD81" s="309"/>
      <c r="AE81" s="307"/>
      <c r="AF81" s="308"/>
      <c r="AG81" s="309"/>
      <c r="AH81" s="307"/>
      <c r="AI81" s="308"/>
      <c r="AJ81" s="309"/>
      <c r="AK81" s="382"/>
      <c r="AL81" s="285"/>
      <c r="AM81" s="298"/>
      <c r="AN81" s="378"/>
      <c r="AO81" s="370"/>
      <c r="AP81" s="253"/>
      <c r="AQ81" s="371"/>
      <c r="AR81" s="373"/>
    </row>
    <row r="82" spans="1:44" s="19" customFormat="1" ht="15.75" x14ac:dyDescent="0.25">
      <c r="A82" s="293"/>
      <c r="B82" s="294"/>
      <c r="C82" s="294"/>
      <c r="D82" s="295"/>
      <c r="E82" s="296"/>
      <c r="F82" s="300"/>
      <c r="G82" s="300"/>
      <c r="H82" s="299"/>
      <c r="I82" s="301"/>
      <c r="J82" s="301"/>
      <c r="K82" s="301"/>
      <c r="L82" s="299"/>
      <c r="M82" s="299"/>
      <c r="N82" s="299"/>
      <c r="O82" s="296"/>
      <c r="P82" s="278">
        <f t="shared" si="7"/>
        <v>0</v>
      </c>
      <c r="Q82" s="279">
        <f t="shared" si="2"/>
        <v>0</v>
      </c>
      <c r="R82" s="280">
        <f t="shared" si="8"/>
        <v>0</v>
      </c>
      <c r="S82" s="280">
        <f t="shared" si="9"/>
        <v>0</v>
      </c>
      <c r="T82" s="280">
        <f t="shared" si="10"/>
        <v>0</v>
      </c>
      <c r="U82" s="281">
        <f t="shared" si="11"/>
        <v>0</v>
      </c>
      <c r="V82" s="345"/>
      <c r="W82" s="290"/>
      <c r="X82" s="302"/>
      <c r="Y82" s="348"/>
      <c r="Z82" s="343"/>
      <c r="AA82" s="306"/>
      <c r="AB82" s="336"/>
      <c r="AC82" s="308"/>
      <c r="AD82" s="309"/>
      <c r="AE82" s="307"/>
      <c r="AF82" s="308"/>
      <c r="AG82" s="309"/>
      <c r="AH82" s="307"/>
      <c r="AI82" s="308"/>
      <c r="AJ82" s="309"/>
      <c r="AK82" s="382"/>
      <c r="AL82" s="285"/>
      <c r="AM82" s="298"/>
      <c r="AN82" s="378"/>
      <c r="AO82" s="370"/>
      <c r="AP82" s="253"/>
      <c r="AQ82" s="371"/>
      <c r="AR82" s="373"/>
    </row>
    <row r="83" spans="1:44" s="19" customFormat="1" ht="15.75" x14ac:dyDescent="0.25">
      <c r="A83" s="293"/>
      <c r="B83" s="294"/>
      <c r="C83" s="294"/>
      <c r="D83" s="295"/>
      <c r="E83" s="296"/>
      <c r="F83" s="300"/>
      <c r="G83" s="300"/>
      <c r="H83" s="299"/>
      <c r="I83" s="301"/>
      <c r="J83" s="301"/>
      <c r="K83" s="301"/>
      <c r="L83" s="299"/>
      <c r="M83" s="299"/>
      <c r="N83" s="299"/>
      <c r="O83" s="296"/>
      <c r="P83" s="278">
        <f t="shared" si="7"/>
        <v>0</v>
      </c>
      <c r="Q83" s="279">
        <f t="shared" si="2"/>
        <v>0</v>
      </c>
      <c r="R83" s="280">
        <f t="shared" si="8"/>
        <v>0</v>
      </c>
      <c r="S83" s="280">
        <f t="shared" si="9"/>
        <v>0</v>
      </c>
      <c r="T83" s="280">
        <f t="shared" si="10"/>
        <v>0</v>
      </c>
      <c r="U83" s="281">
        <f t="shared" si="11"/>
        <v>0</v>
      </c>
      <c r="V83" s="345"/>
      <c r="W83" s="290"/>
      <c r="X83" s="302"/>
      <c r="Y83" s="348"/>
      <c r="Z83" s="343"/>
      <c r="AA83" s="306"/>
      <c r="AB83" s="336"/>
      <c r="AC83" s="308"/>
      <c r="AD83" s="309"/>
      <c r="AE83" s="307"/>
      <c r="AF83" s="308"/>
      <c r="AG83" s="309"/>
      <c r="AH83" s="307"/>
      <c r="AI83" s="308"/>
      <c r="AJ83" s="309"/>
      <c r="AK83" s="382"/>
      <c r="AL83" s="285"/>
      <c r="AM83" s="298"/>
      <c r="AN83" s="378"/>
      <c r="AO83" s="370"/>
      <c r="AP83" s="253"/>
      <c r="AQ83" s="371"/>
      <c r="AR83" s="373"/>
    </row>
    <row r="84" spans="1:44" s="19" customFormat="1" ht="15.75" x14ac:dyDescent="0.25">
      <c r="A84" s="293"/>
      <c r="B84" s="294"/>
      <c r="C84" s="294"/>
      <c r="D84" s="295"/>
      <c r="E84" s="296"/>
      <c r="F84" s="300"/>
      <c r="G84" s="300"/>
      <c r="H84" s="299"/>
      <c r="I84" s="301"/>
      <c r="J84" s="301"/>
      <c r="K84" s="301"/>
      <c r="L84" s="299"/>
      <c r="M84" s="299"/>
      <c r="N84" s="299"/>
      <c r="O84" s="296"/>
      <c r="P84" s="278">
        <f t="shared" si="7"/>
        <v>0</v>
      </c>
      <c r="Q84" s="279">
        <f t="shared" si="2"/>
        <v>0</v>
      </c>
      <c r="R84" s="280">
        <f t="shared" si="8"/>
        <v>0</v>
      </c>
      <c r="S84" s="280">
        <f t="shared" si="9"/>
        <v>0</v>
      </c>
      <c r="T84" s="280">
        <f t="shared" si="10"/>
        <v>0</v>
      </c>
      <c r="U84" s="281">
        <f t="shared" si="11"/>
        <v>0</v>
      </c>
      <c r="V84" s="345"/>
      <c r="W84" s="290"/>
      <c r="X84" s="302"/>
      <c r="Y84" s="348"/>
      <c r="Z84" s="343"/>
      <c r="AA84" s="306"/>
      <c r="AB84" s="336"/>
      <c r="AC84" s="308"/>
      <c r="AD84" s="309"/>
      <c r="AE84" s="307"/>
      <c r="AF84" s="308"/>
      <c r="AG84" s="309"/>
      <c r="AH84" s="307"/>
      <c r="AI84" s="308"/>
      <c r="AJ84" s="309"/>
      <c r="AK84" s="382"/>
      <c r="AL84" s="285"/>
      <c r="AM84" s="298"/>
      <c r="AN84" s="378"/>
      <c r="AO84" s="370"/>
      <c r="AP84" s="253"/>
      <c r="AQ84" s="371"/>
      <c r="AR84" s="373"/>
    </row>
    <row r="85" spans="1:44" s="19" customFormat="1" ht="15.75" x14ac:dyDescent="0.25">
      <c r="A85" s="293"/>
      <c r="B85" s="294"/>
      <c r="C85" s="294"/>
      <c r="D85" s="295"/>
      <c r="E85" s="296"/>
      <c r="F85" s="300"/>
      <c r="G85" s="300"/>
      <c r="H85" s="299"/>
      <c r="I85" s="301"/>
      <c r="J85" s="301"/>
      <c r="K85" s="301"/>
      <c r="L85" s="299"/>
      <c r="M85" s="299"/>
      <c r="N85" s="299"/>
      <c r="O85" s="296"/>
      <c r="P85" s="278">
        <f t="shared" si="7"/>
        <v>0</v>
      </c>
      <c r="Q85" s="279">
        <f t="shared" si="2"/>
        <v>0</v>
      </c>
      <c r="R85" s="280">
        <f t="shared" si="8"/>
        <v>0</v>
      </c>
      <c r="S85" s="280">
        <f t="shared" si="9"/>
        <v>0</v>
      </c>
      <c r="T85" s="280">
        <f t="shared" si="10"/>
        <v>0</v>
      </c>
      <c r="U85" s="281">
        <f t="shared" si="11"/>
        <v>0</v>
      </c>
      <c r="V85" s="345"/>
      <c r="W85" s="290"/>
      <c r="X85" s="302"/>
      <c r="Y85" s="348"/>
      <c r="Z85" s="343"/>
      <c r="AA85" s="306"/>
      <c r="AB85" s="336"/>
      <c r="AC85" s="308"/>
      <c r="AD85" s="309"/>
      <c r="AE85" s="307"/>
      <c r="AF85" s="308"/>
      <c r="AG85" s="309"/>
      <c r="AH85" s="307"/>
      <c r="AI85" s="308"/>
      <c r="AJ85" s="309"/>
      <c r="AK85" s="382"/>
      <c r="AL85" s="285"/>
      <c r="AM85" s="298"/>
      <c r="AN85" s="378"/>
      <c r="AO85" s="370"/>
      <c r="AP85" s="253"/>
      <c r="AQ85" s="371"/>
      <c r="AR85" s="373"/>
    </row>
    <row r="86" spans="1:44" s="19" customFormat="1" ht="15.75" x14ac:dyDescent="0.25">
      <c r="A86" s="293"/>
      <c r="B86" s="294"/>
      <c r="C86" s="294"/>
      <c r="D86" s="295"/>
      <c r="E86" s="296"/>
      <c r="F86" s="300"/>
      <c r="G86" s="300"/>
      <c r="H86" s="299"/>
      <c r="I86" s="301"/>
      <c r="J86" s="301"/>
      <c r="K86" s="301"/>
      <c r="L86" s="299"/>
      <c r="M86" s="299"/>
      <c r="N86" s="299"/>
      <c r="O86" s="296"/>
      <c r="P86" s="278">
        <f t="shared" si="7"/>
        <v>0</v>
      </c>
      <c r="Q86" s="279">
        <f t="shared" si="2"/>
        <v>0</v>
      </c>
      <c r="R86" s="280">
        <f t="shared" si="8"/>
        <v>0</v>
      </c>
      <c r="S86" s="280">
        <f t="shared" si="9"/>
        <v>0</v>
      </c>
      <c r="T86" s="280">
        <f t="shared" si="10"/>
        <v>0</v>
      </c>
      <c r="U86" s="281">
        <f t="shared" si="11"/>
        <v>0</v>
      </c>
      <c r="V86" s="345"/>
      <c r="W86" s="290"/>
      <c r="X86" s="302"/>
      <c r="Y86" s="348"/>
      <c r="Z86" s="343"/>
      <c r="AA86" s="306"/>
      <c r="AB86" s="336"/>
      <c r="AC86" s="308"/>
      <c r="AD86" s="309"/>
      <c r="AE86" s="307"/>
      <c r="AF86" s="308"/>
      <c r="AG86" s="309"/>
      <c r="AH86" s="307"/>
      <c r="AI86" s="308"/>
      <c r="AJ86" s="309"/>
      <c r="AK86" s="382"/>
      <c r="AL86" s="285"/>
      <c r="AM86" s="298"/>
      <c r="AN86" s="378"/>
      <c r="AO86" s="370"/>
      <c r="AP86" s="253"/>
      <c r="AQ86" s="371"/>
      <c r="AR86" s="373"/>
    </row>
    <row r="87" spans="1:44" s="19" customFormat="1" ht="15.75" x14ac:dyDescent="0.25">
      <c r="A87" s="293"/>
      <c r="B87" s="294"/>
      <c r="C87" s="294"/>
      <c r="D87" s="295"/>
      <c r="E87" s="296"/>
      <c r="F87" s="300"/>
      <c r="G87" s="300"/>
      <c r="H87" s="299"/>
      <c r="I87" s="301"/>
      <c r="J87" s="301"/>
      <c r="K87" s="301"/>
      <c r="L87" s="299"/>
      <c r="M87" s="299"/>
      <c r="N87" s="299"/>
      <c r="O87" s="296"/>
      <c r="P87" s="278">
        <f t="shared" si="7"/>
        <v>0</v>
      </c>
      <c r="Q87" s="279">
        <f t="shared" si="2"/>
        <v>0</v>
      </c>
      <c r="R87" s="280">
        <f t="shared" si="8"/>
        <v>0</v>
      </c>
      <c r="S87" s="280">
        <f t="shared" si="9"/>
        <v>0</v>
      </c>
      <c r="T87" s="280">
        <f t="shared" si="10"/>
        <v>0</v>
      </c>
      <c r="U87" s="281">
        <f t="shared" si="11"/>
        <v>0</v>
      </c>
      <c r="V87" s="345"/>
      <c r="W87" s="290"/>
      <c r="X87" s="302"/>
      <c r="Y87" s="348"/>
      <c r="Z87" s="343"/>
      <c r="AA87" s="306"/>
      <c r="AB87" s="336"/>
      <c r="AC87" s="308"/>
      <c r="AD87" s="309"/>
      <c r="AE87" s="307"/>
      <c r="AF87" s="308"/>
      <c r="AG87" s="309"/>
      <c r="AH87" s="307"/>
      <c r="AI87" s="308"/>
      <c r="AJ87" s="309"/>
      <c r="AK87" s="382"/>
      <c r="AL87" s="285"/>
      <c r="AM87" s="298"/>
      <c r="AN87" s="378"/>
      <c r="AO87" s="370"/>
      <c r="AP87" s="253"/>
      <c r="AQ87" s="371"/>
      <c r="AR87" s="373"/>
    </row>
    <row r="88" spans="1:44" s="19" customFormat="1" ht="15.75" x14ac:dyDescent="0.25">
      <c r="A88" s="293"/>
      <c r="B88" s="294"/>
      <c r="C88" s="294"/>
      <c r="D88" s="295"/>
      <c r="E88" s="296"/>
      <c r="F88" s="300"/>
      <c r="G88" s="300"/>
      <c r="H88" s="299"/>
      <c r="I88" s="301"/>
      <c r="J88" s="301"/>
      <c r="K88" s="301"/>
      <c r="L88" s="299"/>
      <c r="M88" s="299"/>
      <c r="N88" s="299"/>
      <c r="O88" s="296"/>
      <c r="P88" s="278">
        <f t="shared" si="7"/>
        <v>0</v>
      </c>
      <c r="Q88" s="279">
        <f t="shared" si="2"/>
        <v>0</v>
      </c>
      <c r="R88" s="280">
        <f t="shared" si="8"/>
        <v>0</v>
      </c>
      <c r="S88" s="280">
        <f t="shared" si="9"/>
        <v>0</v>
      </c>
      <c r="T88" s="280">
        <f t="shared" si="10"/>
        <v>0</v>
      </c>
      <c r="U88" s="281">
        <f t="shared" si="11"/>
        <v>0</v>
      </c>
      <c r="V88" s="345"/>
      <c r="W88" s="290"/>
      <c r="X88" s="302"/>
      <c r="Y88" s="348"/>
      <c r="Z88" s="343"/>
      <c r="AA88" s="306"/>
      <c r="AB88" s="336"/>
      <c r="AC88" s="308"/>
      <c r="AD88" s="309"/>
      <c r="AE88" s="307"/>
      <c r="AF88" s="308"/>
      <c r="AG88" s="309"/>
      <c r="AH88" s="307"/>
      <c r="AI88" s="308"/>
      <c r="AJ88" s="309"/>
      <c r="AK88" s="382"/>
      <c r="AL88" s="285"/>
      <c r="AM88" s="298"/>
      <c r="AN88" s="378"/>
      <c r="AO88" s="370"/>
      <c r="AP88" s="253"/>
      <c r="AQ88" s="371"/>
      <c r="AR88" s="373"/>
    </row>
    <row r="89" spans="1:44" s="19" customFormat="1" ht="15.75" x14ac:dyDescent="0.25">
      <c r="A89" s="293"/>
      <c r="B89" s="294"/>
      <c r="C89" s="294"/>
      <c r="D89" s="295"/>
      <c r="E89" s="296"/>
      <c r="F89" s="300"/>
      <c r="G89" s="300"/>
      <c r="H89" s="299"/>
      <c r="I89" s="301"/>
      <c r="J89" s="301"/>
      <c r="K89" s="301"/>
      <c r="L89" s="299"/>
      <c r="M89" s="299"/>
      <c r="N89" s="299"/>
      <c r="O89" s="296"/>
      <c r="P89" s="278">
        <f t="shared" si="7"/>
        <v>0</v>
      </c>
      <c r="Q89" s="279">
        <f t="shared" si="2"/>
        <v>0</v>
      </c>
      <c r="R89" s="280">
        <f t="shared" si="8"/>
        <v>0</v>
      </c>
      <c r="S89" s="280">
        <f t="shared" si="9"/>
        <v>0</v>
      </c>
      <c r="T89" s="280">
        <f t="shared" si="10"/>
        <v>0</v>
      </c>
      <c r="U89" s="281">
        <f t="shared" si="11"/>
        <v>0</v>
      </c>
      <c r="V89" s="345"/>
      <c r="W89" s="290"/>
      <c r="X89" s="302"/>
      <c r="Y89" s="348"/>
      <c r="Z89" s="343"/>
      <c r="AA89" s="306"/>
      <c r="AB89" s="336"/>
      <c r="AC89" s="308"/>
      <c r="AD89" s="309"/>
      <c r="AE89" s="307"/>
      <c r="AF89" s="308"/>
      <c r="AG89" s="309"/>
      <c r="AH89" s="307"/>
      <c r="AI89" s="308"/>
      <c r="AJ89" s="309"/>
      <c r="AK89" s="382"/>
      <c r="AL89" s="285"/>
      <c r="AM89" s="298"/>
      <c r="AN89" s="378"/>
      <c r="AO89" s="370"/>
      <c r="AP89" s="253"/>
      <c r="AQ89" s="371"/>
      <c r="AR89" s="373"/>
    </row>
    <row r="90" spans="1:44" s="36" customFormat="1" ht="15.75" x14ac:dyDescent="0.25">
      <c r="A90" s="326"/>
      <c r="B90" s="294"/>
      <c r="C90" s="294"/>
      <c r="D90" s="295"/>
      <c r="E90" s="295"/>
      <c r="F90" s="295"/>
      <c r="G90" s="295"/>
      <c r="H90" s="295"/>
      <c r="I90" s="295"/>
      <c r="J90" s="325"/>
      <c r="K90" s="295"/>
      <c r="L90" s="295"/>
      <c r="M90" s="295"/>
      <c r="N90" s="295"/>
      <c r="O90" s="296"/>
      <c r="P90" s="278">
        <f t="shared" si="7"/>
        <v>0</v>
      </c>
      <c r="Q90" s="279">
        <f t="shared" si="2"/>
        <v>0</v>
      </c>
      <c r="R90" s="280">
        <f t="shared" si="8"/>
        <v>0</v>
      </c>
      <c r="S90" s="280">
        <f t="shared" si="9"/>
        <v>0</v>
      </c>
      <c r="T90" s="280">
        <f t="shared" si="10"/>
        <v>0</v>
      </c>
      <c r="U90" s="281">
        <f t="shared" si="11"/>
        <v>0</v>
      </c>
      <c r="V90" s="345"/>
      <c r="W90" s="290"/>
      <c r="X90" s="302"/>
      <c r="Y90" s="348"/>
      <c r="Z90" s="343"/>
      <c r="AA90" s="306"/>
      <c r="AB90" s="336"/>
      <c r="AC90" s="308"/>
      <c r="AD90" s="309"/>
      <c r="AE90" s="307"/>
      <c r="AF90" s="308"/>
      <c r="AG90" s="309"/>
      <c r="AH90" s="307"/>
      <c r="AI90" s="308"/>
      <c r="AJ90" s="309"/>
      <c r="AK90" s="310"/>
      <c r="AL90" s="311"/>
      <c r="AM90" s="285"/>
      <c r="AN90" s="379"/>
      <c r="AO90" s="370"/>
      <c r="AP90" s="253"/>
      <c r="AQ90" s="371"/>
      <c r="AR90" s="373"/>
    </row>
    <row r="91" spans="1:44" s="19" customFormat="1" ht="15.75" x14ac:dyDescent="0.25">
      <c r="A91" s="293"/>
      <c r="B91" s="294"/>
      <c r="C91" s="294"/>
      <c r="D91" s="295"/>
      <c r="E91" s="296"/>
      <c r="F91" s="300"/>
      <c r="G91" s="300"/>
      <c r="H91" s="299"/>
      <c r="I91" s="301"/>
      <c r="J91" s="327"/>
      <c r="K91" s="301"/>
      <c r="L91" s="299"/>
      <c r="M91" s="299"/>
      <c r="N91" s="299"/>
      <c r="O91" s="296"/>
      <c r="P91" s="278">
        <f t="shared" si="7"/>
        <v>0</v>
      </c>
      <c r="Q91" s="279">
        <f t="shared" si="2"/>
        <v>0</v>
      </c>
      <c r="R91" s="280">
        <f t="shared" si="8"/>
        <v>0</v>
      </c>
      <c r="S91" s="280">
        <f t="shared" si="9"/>
        <v>0</v>
      </c>
      <c r="T91" s="280">
        <f t="shared" si="10"/>
        <v>0</v>
      </c>
      <c r="U91" s="281">
        <f t="shared" si="11"/>
        <v>0</v>
      </c>
      <c r="V91" s="345"/>
      <c r="W91" s="290"/>
      <c r="X91" s="302"/>
      <c r="Y91" s="348"/>
      <c r="Z91" s="343"/>
      <c r="AA91" s="306"/>
      <c r="AB91" s="336"/>
      <c r="AC91" s="308"/>
      <c r="AD91" s="309"/>
      <c r="AE91" s="307"/>
      <c r="AF91" s="308"/>
      <c r="AG91" s="309"/>
      <c r="AH91" s="307"/>
      <c r="AI91" s="308"/>
      <c r="AJ91" s="309"/>
      <c r="AK91" s="382"/>
      <c r="AL91" s="285"/>
      <c r="AM91" s="298"/>
      <c r="AN91" s="378"/>
      <c r="AO91" s="370"/>
      <c r="AP91" s="253"/>
      <c r="AQ91" s="371"/>
      <c r="AR91" s="373"/>
    </row>
    <row r="92" spans="1:44" s="19" customFormat="1" ht="15.75" x14ac:dyDescent="0.25">
      <c r="A92" s="293"/>
      <c r="B92" s="294"/>
      <c r="C92" s="294"/>
      <c r="D92" s="295"/>
      <c r="E92" s="296"/>
      <c r="F92" s="300"/>
      <c r="G92" s="300"/>
      <c r="H92" s="299"/>
      <c r="I92" s="301"/>
      <c r="J92" s="327"/>
      <c r="K92" s="301"/>
      <c r="L92" s="299"/>
      <c r="M92" s="299"/>
      <c r="N92" s="299"/>
      <c r="O92" s="296"/>
      <c r="P92" s="278">
        <f t="shared" si="7"/>
        <v>0</v>
      </c>
      <c r="Q92" s="279">
        <f t="shared" si="2"/>
        <v>0</v>
      </c>
      <c r="R92" s="280">
        <f t="shared" si="8"/>
        <v>0</v>
      </c>
      <c r="S92" s="280">
        <f t="shared" si="9"/>
        <v>0</v>
      </c>
      <c r="T92" s="280">
        <f t="shared" si="10"/>
        <v>0</v>
      </c>
      <c r="U92" s="281">
        <f t="shared" si="11"/>
        <v>0</v>
      </c>
      <c r="V92" s="345"/>
      <c r="W92" s="290"/>
      <c r="X92" s="302"/>
      <c r="Y92" s="348"/>
      <c r="Z92" s="343"/>
      <c r="AA92" s="306"/>
      <c r="AB92" s="336"/>
      <c r="AC92" s="308"/>
      <c r="AD92" s="309"/>
      <c r="AE92" s="307"/>
      <c r="AF92" s="308"/>
      <c r="AG92" s="309"/>
      <c r="AH92" s="307"/>
      <c r="AI92" s="308"/>
      <c r="AJ92" s="309"/>
      <c r="AK92" s="382"/>
      <c r="AL92" s="285"/>
      <c r="AM92" s="298"/>
      <c r="AN92" s="378"/>
      <c r="AO92" s="370"/>
      <c r="AP92" s="253"/>
      <c r="AQ92" s="371"/>
      <c r="AR92" s="373"/>
    </row>
    <row r="93" spans="1:44" s="19" customFormat="1" ht="15.75" x14ac:dyDescent="0.25">
      <c r="A93" s="312"/>
      <c r="B93" s="313"/>
      <c r="C93" s="313"/>
      <c r="D93" s="314"/>
      <c r="E93" s="315"/>
      <c r="F93" s="300"/>
      <c r="G93" s="328"/>
      <c r="H93" s="316"/>
      <c r="I93" s="317"/>
      <c r="J93" s="329"/>
      <c r="K93" s="317"/>
      <c r="L93" s="316"/>
      <c r="M93" s="316"/>
      <c r="N93" s="316"/>
      <c r="O93" s="315"/>
      <c r="P93" s="278">
        <f t="shared" si="7"/>
        <v>0</v>
      </c>
      <c r="Q93" s="279">
        <f t="shared" si="2"/>
        <v>0</v>
      </c>
      <c r="R93" s="280">
        <f t="shared" si="8"/>
        <v>0</v>
      </c>
      <c r="S93" s="280">
        <f t="shared" si="9"/>
        <v>0</v>
      </c>
      <c r="T93" s="280">
        <f t="shared" si="10"/>
        <v>0</v>
      </c>
      <c r="U93" s="281">
        <f t="shared" si="11"/>
        <v>0</v>
      </c>
      <c r="V93" s="345"/>
      <c r="W93" s="290"/>
      <c r="X93" s="302"/>
      <c r="Y93" s="348"/>
      <c r="Z93" s="343"/>
      <c r="AA93" s="306"/>
      <c r="AB93" s="337"/>
      <c r="AC93" s="319"/>
      <c r="AD93" s="320"/>
      <c r="AE93" s="318"/>
      <c r="AF93" s="319"/>
      <c r="AG93" s="320"/>
      <c r="AH93" s="318"/>
      <c r="AI93" s="319"/>
      <c r="AJ93" s="319"/>
      <c r="AK93" s="383"/>
      <c r="AL93" s="321"/>
      <c r="AM93" s="322"/>
      <c r="AN93" s="378"/>
      <c r="AO93" s="370"/>
      <c r="AP93" s="253"/>
      <c r="AQ93" s="371"/>
      <c r="AR93" s="373"/>
    </row>
    <row r="94" spans="1:44" s="19" customFormat="1" ht="15.6" customHeight="1" thickBot="1" x14ac:dyDescent="0.3">
      <c r="A94" s="37"/>
      <c r="B94" s="29"/>
      <c r="C94" s="38"/>
      <c r="D94" s="38"/>
      <c r="E94" s="38"/>
      <c r="F94" s="38"/>
      <c r="G94" s="38"/>
      <c r="H94" s="38"/>
      <c r="I94" s="38"/>
      <c r="J94" s="29"/>
      <c r="K94" s="38"/>
      <c r="L94" s="38"/>
      <c r="M94" s="38"/>
      <c r="N94" s="38"/>
      <c r="O94" s="38"/>
      <c r="P94" s="20">
        <f t="shared" si="7"/>
        <v>0</v>
      </c>
      <c r="Q94" s="208">
        <f t="shared" si="2"/>
        <v>0</v>
      </c>
      <c r="R94" s="333">
        <f t="shared" si="8"/>
        <v>0</v>
      </c>
      <c r="S94" s="333">
        <f t="shared" si="9"/>
        <v>0</v>
      </c>
      <c r="T94" s="333">
        <f t="shared" si="10"/>
        <v>0</v>
      </c>
      <c r="U94" s="335">
        <f t="shared" si="11"/>
        <v>0</v>
      </c>
      <c r="V94" s="346"/>
      <c r="W94" s="347"/>
      <c r="X94" s="32"/>
      <c r="Y94" s="349"/>
      <c r="Z94" s="350"/>
      <c r="AA94" s="173"/>
      <c r="AB94" s="171"/>
      <c r="AC94" s="172"/>
      <c r="AD94" s="173"/>
      <c r="AE94" s="174"/>
      <c r="AF94" s="172"/>
      <c r="AG94" s="173"/>
      <c r="AH94" s="174"/>
      <c r="AI94" s="172"/>
      <c r="AJ94" s="172"/>
      <c r="AK94" s="215"/>
      <c r="AL94" s="214"/>
      <c r="AM94" s="214"/>
      <c r="AN94" s="380"/>
      <c r="AO94" s="174"/>
      <c r="AP94" s="172"/>
      <c r="AQ94" s="173"/>
      <c r="AR94" s="214"/>
    </row>
    <row r="95" spans="1:44" x14ac:dyDescent="0.25">
      <c r="J95"/>
    </row>
    <row r="96" spans="1:44" x14ac:dyDescent="0.25">
      <c r="F96" s="15"/>
      <c r="J96"/>
    </row>
    <row r="97" spans="5:38" x14ac:dyDescent="0.25">
      <c r="E97" t="s">
        <v>97</v>
      </c>
      <c r="F97" s="14" t="s">
        <v>165</v>
      </c>
      <c r="G97" t="s">
        <v>7</v>
      </c>
      <c r="J97"/>
      <c r="O97" s="14" t="s">
        <v>145</v>
      </c>
      <c r="P97" s="14"/>
      <c r="AL97" t="s">
        <v>247</v>
      </c>
    </row>
    <row r="98" spans="5:38" x14ac:dyDescent="0.25">
      <c r="E98" t="s">
        <v>177</v>
      </c>
      <c r="F98" s="14" t="s">
        <v>178</v>
      </c>
      <c r="G98" t="s">
        <v>8</v>
      </c>
      <c r="J98"/>
      <c r="O98" s="14" t="s">
        <v>179</v>
      </c>
      <c r="P98" s="14"/>
      <c r="AL98" t="s">
        <v>248</v>
      </c>
    </row>
    <row r="99" spans="5:38" x14ac:dyDescent="0.25">
      <c r="E99" t="s">
        <v>125</v>
      </c>
      <c r="F99" s="14" t="s">
        <v>181</v>
      </c>
      <c r="G99" t="s">
        <v>187</v>
      </c>
      <c r="J99"/>
      <c r="O99" s="14" t="s">
        <v>152</v>
      </c>
      <c r="P99" s="14"/>
      <c r="AL99" t="s">
        <v>249</v>
      </c>
    </row>
    <row r="100" spans="5:38" x14ac:dyDescent="0.25">
      <c r="F100" s="14" t="s">
        <v>183</v>
      </c>
      <c r="G100" t="s">
        <v>10</v>
      </c>
      <c r="J100"/>
      <c r="O100" s="14" t="s">
        <v>184</v>
      </c>
      <c r="P100" s="14"/>
      <c r="AL100" t="s">
        <v>250</v>
      </c>
    </row>
    <row r="101" spans="5:38" x14ac:dyDescent="0.25">
      <c r="F101" s="14" t="s">
        <v>98</v>
      </c>
      <c r="J101"/>
      <c r="O101" s="14" t="s">
        <v>18</v>
      </c>
      <c r="P101" s="14"/>
      <c r="AL101" t="s">
        <v>251</v>
      </c>
    </row>
    <row r="102" spans="5:38" x14ac:dyDescent="0.25">
      <c r="F102" s="14" t="s">
        <v>132</v>
      </c>
      <c r="J102"/>
      <c r="O102" s="14" t="s">
        <v>185</v>
      </c>
      <c r="P102" s="14"/>
    </row>
    <row r="103" spans="5:38" x14ac:dyDescent="0.25">
      <c r="F103" s="14" t="s">
        <v>186</v>
      </c>
      <c r="J103"/>
      <c r="O103" s="14" t="s">
        <v>105</v>
      </c>
    </row>
    <row r="104" spans="5:38" x14ac:dyDescent="0.25">
      <c r="F104" s="14" t="s">
        <v>188</v>
      </c>
      <c r="J104"/>
    </row>
    <row r="105" spans="5:38" x14ac:dyDescent="0.25">
      <c r="F105" s="14" t="s">
        <v>189</v>
      </c>
      <c r="J105"/>
    </row>
    <row r="106" spans="5:38" x14ac:dyDescent="0.25">
      <c r="F106" s="14" t="s">
        <v>137</v>
      </c>
      <c r="J106"/>
    </row>
    <row r="107" spans="5:38" x14ac:dyDescent="0.25">
      <c r="F107" s="14" t="s">
        <v>109</v>
      </c>
      <c r="J107"/>
    </row>
    <row r="108" spans="5:38" x14ac:dyDescent="0.25">
      <c r="F108" s="14" t="s">
        <v>190</v>
      </c>
      <c r="J108"/>
    </row>
    <row r="109" spans="5:38" x14ac:dyDescent="0.25">
      <c r="F109" s="14" t="s">
        <v>191</v>
      </c>
      <c r="J109"/>
    </row>
    <row r="110" spans="5:38" x14ac:dyDescent="0.25">
      <c r="F110" s="14" t="s">
        <v>192</v>
      </c>
      <c r="J110"/>
    </row>
    <row r="111" spans="5:38" x14ac:dyDescent="0.25">
      <c r="F111" s="14" t="s">
        <v>193</v>
      </c>
      <c r="J111"/>
    </row>
    <row r="112" spans="5:38" x14ac:dyDescent="0.25">
      <c r="F112" s="14" t="s">
        <v>195</v>
      </c>
      <c r="J112"/>
    </row>
    <row r="113" spans="6:10" x14ac:dyDescent="0.25">
      <c r="F113" s="14" t="s">
        <v>196</v>
      </c>
      <c r="J113"/>
    </row>
    <row r="114" spans="6:10" x14ac:dyDescent="0.25">
      <c r="F114" s="14" t="s">
        <v>197</v>
      </c>
      <c r="J114"/>
    </row>
    <row r="115" spans="6:10" x14ac:dyDescent="0.25">
      <c r="F115" s="14" t="s">
        <v>126</v>
      </c>
      <c r="J115"/>
    </row>
    <row r="116" spans="6:10" x14ac:dyDescent="0.25">
      <c r="I116" s="3"/>
      <c r="J116"/>
    </row>
    <row r="117" spans="6:10" x14ac:dyDescent="0.25">
      <c r="H117" s="3"/>
      <c r="J117"/>
    </row>
  </sheetData>
  <sheetProtection algorithmName="SHA-512" hashValue="G/Bb+yfZBs+IoGEGMcOKM5zOW9xl1LUTFEtMQm2zbNBQTkQSixzT0Jx8bUOyWY6xO9gS8z4JXP5rZyLuKhDVzQ==" saltValue="RB2WIv9lWFOEyANbL8OgTQ==" spinCount="100000" sheet="1" objects="1" scenarios="1"/>
  <mergeCells count="22">
    <mergeCell ref="B2:D2"/>
    <mergeCell ref="V32:AJ32"/>
    <mergeCell ref="Q34:U34"/>
    <mergeCell ref="K28:Q28"/>
    <mergeCell ref="V33:X33"/>
    <mergeCell ref="Y33:AA33"/>
    <mergeCell ref="AB33:AD33"/>
    <mergeCell ref="AE33:AG33"/>
    <mergeCell ref="AH33:AJ33"/>
    <mergeCell ref="B20:I20"/>
    <mergeCell ref="K20:Q20"/>
    <mergeCell ref="B17:I17"/>
    <mergeCell ref="K17:Q17"/>
    <mergeCell ref="K19:Q19"/>
    <mergeCell ref="AO32:AQ32"/>
    <mergeCell ref="AO33:AQ33"/>
    <mergeCell ref="K22:Q22"/>
    <mergeCell ref="B23:I23"/>
    <mergeCell ref="K23:Q23"/>
    <mergeCell ref="K25:Q25"/>
    <mergeCell ref="B26:I26"/>
    <mergeCell ref="K26:Q26"/>
  </mergeCells>
  <dataValidations count="11">
    <dataValidation type="whole" allowBlank="1" showInputMessage="1" showErrorMessage="1" sqref="B22:I22 B25:I25 C28:I28" xr:uid="{6354FB09-3F04-481D-AA34-7454226EDE46}">
      <formula1>0</formula1>
      <formula2>100</formula2>
    </dataValidation>
    <dataValidation type="whole" allowBlank="1" showInputMessage="1" showErrorMessage="1" sqref="B19:I19" xr:uid="{3980CC6E-838C-41F0-8A69-93F3C95A17B4}">
      <formula1>0</formula1>
      <formula2>10000000</formula2>
    </dataValidation>
    <dataValidation type="list" allowBlank="1" showInputMessage="1" showErrorMessage="1" sqref="AL90:AL93" xr:uid="{CA4B89F0-D22F-4B8D-9164-4A6A1F094AC1}">
      <formula1>$AL$37:$AL$39</formula1>
    </dataValidation>
    <dataValidation type="list" allowBlank="1" showInputMessage="1" showErrorMessage="1" sqref="AL94" xr:uid="{27A462FF-1E33-497F-93FF-47302DEF6B27}">
      <formula1>$AL$97:$AL$101</formula1>
    </dataValidation>
    <dataValidation type="list" allowBlank="1" showInputMessage="1" showErrorMessage="1" sqref="G35:G94" xr:uid="{9D04FCB4-CBA8-47F4-9F40-087056B86FCA}">
      <formula1>$G$97:$G$100</formula1>
    </dataValidation>
    <dataValidation type="list" allowBlank="1" showInputMessage="1" showErrorMessage="1" sqref="F35:F94" xr:uid="{5688C0C7-B0C9-407E-8442-265EC5E5FE4E}">
      <formula1>$F$97:$F$115</formula1>
    </dataValidation>
    <dataValidation type="list" allowBlank="1" showInputMessage="1" showErrorMessage="1" sqref="E35:E94" xr:uid="{2025EB9E-EEB3-4670-8C14-06C466A53E87}">
      <formula1>$E$97:$E$99</formula1>
    </dataValidation>
    <dataValidation type="list" allowBlank="1" showInputMessage="1" showErrorMessage="1" sqref="O35:O94" xr:uid="{85CB3776-0F40-4C30-8DD6-0012CABB02A5}">
      <formula1>$O$97:$O$103</formula1>
    </dataValidation>
    <dataValidation type="list" allowBlank="1" showInputMessage="1" showErrorMessage="1" sqref="AL73:AL81 AL87 AL35:AL71" xr:uid="{BA5FCC99-68C8-4A5E-9440-203A165E13C8}">
      <formula1>$AL$100:$AL$104</formula1>
    </dataValidation>
    <dataValidation type="list" allowBlank="1" showInputMessage="1" showErrorMessage="1" sqref="F117:F151 F31:F32" xr:uid="{03D7859E-A6E5-4C17-B004-E760432DB308}">
      <formula1>$F$3:$I$3</formula1>
    </dataValidation>
    <dataValidation type="list" allowBlank="1" showInputMessage="1" showErrorMessage="1" sqref="O118:O150 O31:O32 N116 M117" xr:uid="{BBFFE4F5-B39E-4BD3-A228-9D07A2CADEDD}">
      <formula1>$Q$19:$Q$22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1C13A-16C7-4C54-A80F-3B0B5488E0B7}">
  <sheetPr codeName="Leht3"/>
  <dimension ref="A2:L26"/>
  <sheetViews>
    <sheetView topLeftCell="A18" workbookViewId="0">
      <selection activeCell="F7" sqref="F7"/>
    </sheetView>
  </sheetViews>
  <sheetFormatPr defaultColWidth="8.85546875" defaultRowHeight="15" x14ac:dyDescent="0.25"/>
  <cols>
    <col min="1" max="1" width="52.140625" style="39" customWidth="1"/>
    <col min="2" max="5" width="11.85546875" style="39" customWidth="1"/>
    <col min="6" max="12" width="14.7109375" style="39" customWidth="1"/>
    <col min="13" max="16384" width="8.85546875" style="39"/>
  </cols>
  <sheetData>
    <row r="2" spans="1:12" ht="15.75" thickBot="1" x14ac:dyDescent="0.3"/>
    <row r="3" spans="1:12" ht="168.75" thickBot="1" x14ac:dyDescent="0.3">
      <c r="A3" s="40" t="s">
        <v>252</v>
      </c>
      <c r="B3" s="41" t="s">
        <v>199</v>
      </c>
      <c r="C3" s="41">
        <v>2023</v>
      </c>
      <c r="D3" s="41">
        <v>2024</v>
      </c>
      <c r="E3" s="41">
        <v>2025</v>
      </c>
      <c r="F3" s="103" t="s">
        <v>253</v>
      </c>
      <c r="G3" s="104" t="s">
        <v>254</v>
      </c>
      <c r="H3" s="104" t="s">
        <v>255</v>
      </c>
      <c r="I3" s="104" t="s">
        <v>256</v>
      </c>
      <c r="J3" s="104" t="s">
        <v>257</v>
      </c>
      <c r="K3" s="104" t="s">
        <v>258</v>
      </c>
      <c r="L3" s="105" t="s">
        <v>259</v>
      </c>
    </row>
    <row r="4" spans="1:12" x14ac:dyDescent="0.25">
      <c r="A4" s="384" t="s">
        <v>260</v>
      </c>
      <c r="B4" s="42"/>
      <c r="C4" s="42"/>
      <c r="D4" s="43"/>
      <c r="E4" s="43"/>
      <c r="L4" s="44"/>
    </row>
    <row r="5" spans="1:12" ht="24" x14ac:dyDescent="0.25">
      <c r="A5" s="71" t="s">
        <v>7</v>
      </c>
      <c r="B5" s="102">
        <f>SUM(C5:E5)</f>
        <v>519636</v>
      </c>
      <c r="C5" s="45">
        <f>Tegevuskava!D23</f>
        <v>0</v>
      </c>
      <c r="D5" s="45">
        <f>Tegevuskava!E23</f>
        <v>153286</v>
      </c>
      <c r="E5" s="45">
        <f>Tegevuskava!F23</f>
        <v>366350</v>
      </c>
      <c r="F5" s="46" t="s">
        <v>261</v>
      </c>
      <c r="G5" s="46" t="s">
        <v>261</v>
      </c>
      <c r="H5" s="46" t="s">
        <v>261</v>
      </c>
      <c r="I5" s="46" t="s">
        <v>261</v>
      </c>
      <c r="J5" s="46" t="s">
        <v>261</v>
      </c>
      <c r="K5" s="46" t="s">
        <v>261</v>
      </c>
      <c r="L5" s="47" t="s">
        <v>261</v>
      </c>
    </row>
    <row r="6" spans="1:12" ht="24" x14ac:dyDescent="0.25">
      <c r="A6" s="71" t="s">
        <v>262</v>
      </c>
      <c r="B6" s="102">
        <f t="shared" ref="B6:B8" si="0">SUM(C6:E6)</f>
        <v>174952</v>
      </c>
      <c r="C6" s="45">
        <f>Tegevuskava!D24</f>
        <v>0</v>
      </c>
      <c r="D6" s="45">
        <f>Tegevuskava!E24</f>
        <v>117976</v>
      </c>
      <c r="E6" s="45">
        <f>Tegevuskava!F24</f>
        <v>56976</v>
      </c>
      <c r="F6" s="46" t="s">
        <v>261</v>
      </c>
      <c r="G6" s="46" t="s">
        <v>261</v>
      </c>
      <c r="H6" s="46" t="s">
        <v>261</v>
      </c>
      <c r="I6" s="46" t="s">
        <v>261</v>
      </c>
      <c r="J6" s="46" t="s">
        <v>261</v>
      </c>
      <c r="K6" s="46" t="s">
        <v>261</v>
      </c>
      <c r="L6" s="47" t="s">
        <v>261</v>
      </c>
    </row>
    <row r="7" spans="1:12" ht="36" x14ac:dyDescent="0.25">
      <c r="A7" s="71" t="s">
        <v>263</v>
      </c>
      <c r="B7" s="102">
        <f t="shared" si="0"/>
        <v>151280</v>
      </c>
      <c r="C7" s="45">
        <f>Tegevuskava!D25</f>
        <v>0</v>
      </c>
      <c r="D7" s="45">
        <f>Tegevuskava!E25</f>
        <v>75640</v>
      </c>
      <c r="E7" s="45">
        <f>Tegevuskava!F25</f>
        <v>75640</v>
      </c>
      <c r="F7" s="46" t="s">
        <v>261</v>
      </c>
      <c r="G7" s="46" t="s">
        <v>261</v>
      </c>
      <c r="H7" s="46" t="s">
        <v>261</v>
      </c>
      <c r="I7" s="46" t="s">
        <v>261</v>
      </c>
      <c r="J7" s="46" t="s">
        <v>261</v>
      </c>
      <c r="K7" s="46" t="s">
        <v>261</v>
      </c>
      <c r="L7" s="47" t="s">
        <v>261</v>
      </c>
    </row>
    <row r="8" spans="1:12" ht="24.75" thickBot="1" x14ac:dyDescent="0.3">
      <c r="A8" s="72" t="s">
        <v>264</v>
      </c>
      <c r="B8" s="102">
        <f t="shared" si="0"/>
        <v>314242</v>
      </c>
      <c r="C8" s="45">
        <f>Tegevuskava!D26</f>
        <v>0</v>
      </c>
      <c r="D8" s="45">
        <f>Tegevuskava!E26</f>
        <v>106342</v>
      </c>
      <c r="E8" s="45">
        <f>Tegevuskava!F26</f>
        <v>207900</v>
      </c>
      <c r="F8" s="46" t="s">
        <v>261</v>
      </c>
      <c r="G8" s="46" t="s">
        <v>261</v>
      </c>
      <c r="H8" s="46" t="s">
        <v>261</v>
      </c>
      <c r="I8" s="46" t="s">
        <v>261</v>
      </c>
      <c r="J8" s="46" t="s">
        <v>261</v>
      </c>
      <c r="K8" s="46" t="s">
        <v>261</v>
      </c>
      <c r="L8" s="47" t="s">
        <v>261</v>
      </c>
    </row>
    <row r="9" spans="1:12" ht="15.75" thickBot="1" x14ac:dyDescent="0.3">
      <c r="A9" s="48" t="s">
        <v>265</v>
      </c>
      <c r="B9" s="101">
        <f>SUM(B5:B8)</f>
        <v>1160110</v>
      </c>
      <c r="C9" s="101">
        <f>SUM(C5:C8)</f>
        <v>0</v>
      </c>
      <c r="D9" s="101">
        <f>SUM(D5:D8)</f>
        <v>453244</v>
      </c>
      <c r="E9" s="101">
        <f>SUM(E5:E8)</f>
        <v>706866</v>
      </c>
      <c r="F9" s="49"/>
      <c r="G9" s="49"/>
      <c r="H9" s="49"/>
      <c r="I9" s="49"/>
      <c r="J9" s="49"/>
      <c r="K9" s="49"/>
      <c r="L9" s="50"/>
    </row>
    <row r="10" spans="1:12" ht="15.75" thickBot="1" x14ac:dyDescent="0.3"/>
    <row r="11" spans="1:12" x14ac:dyDescent="0.25">
      <c r="A11" s="51" t="s">
        <v>25</v>
      </c>
      <c r="B11" s="592" t="s">
        <v>26</v>
      </c>
      <c r="C11" s="593"/>
      <c r="D11" s="593"/>
      <c r="E11" s="593"/>
      <c r="F11" s="593"/>
      <c r="G11" s="593"/>
      <c r="H11" s="593"/>
      <c r="I11" s="636"/>
    </row>
    <row r="12" spans="1:12" ht="30" x14ac:dyDescent="0.25">
      <c r="A12" s="52" t="s">
        <v>29</v>
      </c>
      <c r="B12" s="106" t="s">
        <v>266</v>
      </c>
      <c r="C12" s="107" t="s">
        <v>267</v>
      </c>
      <c r="D12" s="107" t="s">
        <v>268</v>
      </c>
      <c r="E12" s="107" t="s">
        <v>269</v>
      </c>
      <c r="F12" s="107" t="s">
        <v>270</v>
      </c>
      <c r="G12" s="107" t="s">
        <v>271</v>
      </c>
      <c r="H12" s="107" t="s">
        <v>272</v>
      </c>
      <c r="I12" s="108" t="s">
        <v>273</v>
      </c>
    </row>
    <row r="13" spans="1:12" ht="15.75" thickBot="1" x14ac:dyDescent="0.3">
      <c r="A13" s="53" t="s">
        <v>38</v>
      </c>
      <c r="B13" s="109">
        <f>'kuni 2025 detsember tegevuskava'!B19</f>
        <v>0</v>
      </c>
      <c r="C13" s="109">
        <f>'kuni 2025 detsember tegevuskava'!C19</f>
        <v>0</v>
      </c>
      <c r="D13" s="109">
        <f>'kuni 2025 detsember tegevuskava'!D19</f>
        <v>15000</v>
      </c>
      <c r="E13" s="109">
        <f>'kuni 2025 detsember tegevuskava'!E19</f>
        <v>0</v>
      </c>
      <c r="F13" s="109">
        <f>'kuni 2025 detsember tegevuskava'!F19</f>
        <v>0</v>
      </c>
      <c r="G13" s="109">
        <f>'kuni 2025 detsember tegevuskava'!G19</f>
        <v>0</v>
      </c>
      <c r="H13" s="109">
        <f>'kuni 2025 detsember tegevuskava'!H19</f>
        <v>0</v>
      </c>
      <c r="I13" s="110">
        <f>'kuni 2025 detsember tegevuskava'!I19</f>
        <v>250000</v>
      </c>
    </row>
    <row r="14" spans="1:12" x14ac:dyDescent="0.25">
      <c r="A14" s="51" t="s">
        <v>40</v>
      </c>
      <c r="B14" s="592" t="s">
        <v>41</v>
      </c>
      <c r="C14" s="593"/>
      <c r="D14" s="593"/>
      <c r="E14" s="593"/>
      <c r="F14" s="593"/>
      <c r="G14" s="593"/>
      <c r="H14" s="593"/>
      <c r="I14" s="636"/>
    </row>
    <row r="15" spans="1:12" ht="30" x14ac:dyDescent="0.25">
      <c r="A15" s="52" t="s">
        <v>29</v>
      </c>
      <c r="B15" s="106" t="s">
        <v>266</v>
      </c>
      <c r="C15" s="107" t="s">
        <v>267</v>
      </c>
      <c r="D15" s="107" t="s">
        <v>268</v>
      </c>
      <c r="E15" s="107" t="s">
        <v>269</v>
      </c>
      <c r="F15" s="107" t="s">
        <v>270</v>
      </c>
      <c r="G15" s="107" t="s">
        <v>271</v>
      </c>
      <c r="H15" s="107" t="s">
        <v>272</v>
      </c>
      <c r="I15" s="108" t="s">
        <v>273</v>
      </c>
    </row>
    <row r="16" spans="1:12" ht="15.75" thickBot="1" x14ac:dyDescent="0.3">
      <c r="A16" s="53" t="s">
        <v>38</v>
      </c>
      <c r="B16" s="109">
        <f>'kuni 2025 detsember tegevuskava'!B22</f>
        <v>0</v>
      </c>
      <c r="C16" s="109">
        <f>'kuni 2025 detsember tegevuskava'!C22</f>
        <v>0</v>
      </c>
      <c r="D16" s="109">
        <f>'kuni 2025 detsember tegevuskava'!D22</f>
        <v>1</v>
      </c>
      <c r="E16" s="109">
        <f>'kuni 2025 detsember tegevuskava'!E22</f>
        <v>0</v>
      </c>
      <c r="F16" s="109">
        <f>'kuni 2025 detsember tegevuskava'!F22</f>
        <v>0</v>
      </c>
      <c r="G16" s="109">
        <f>'kuni 2025 detsember tegevuskava'!G22</f>
        <v>0</v>
      </c>
      <c r="H16" s="109">
        <f>'kuni 2025 detsember tegevuskava'!H22</f>
        <v>0</v>
      </c>
      <c r="I16" s="110">
        <f>'kuni 2025 detsember tegevuskava'!I22</f>
        <v>5</v>
      </c>
    </row>
    <row r="17" spans="1:9" x14ac:dyDescent="0.25">
      <c r="A17" s="51" t="s">
        <v>40</v>
      </c>
      <c r="B17" s="592" t="s">
        <v>44</v>
      </c>
      <c r="C17" s="593"/>
      <c r="D17" s="593"/>
      <c r="E17" s="593"/>
      <c r="F17" s="593"/>
      <c r="G17" s="593"/>
      <c r="H17" s="593"/>
      <c r="I17" s="636"/>
    </row>
    <row r="18" spans="1:9" ht="30" x14ac:dyDescent="0.25">
      <c r="A18" s="52" t="s">
        <v>29</v>
      </c>
      <c r="B18" s="106" t="s">
        <v>266</v>
      </c>
      <c r="C18" s="107" t="s">
        <v>267</v>
      </c>
      <c r="D18" s="107" t="s">
        <v>268</v>
      </c>
      <c r="E18" s="107" t="s">
        <v>269</v>
      </c>
      <c r="F18" s="107" t="s">
        <v>270</v>
      </c>
      <c r="G18" s="107" t="s">
        <v>271</v>
      </c>
      <c r="H18" s="107" t="s">
        <v>272</v>
      </c>
      <c r="I18" s="108" t="s">
        <v>273</v>
      </c>
    </row>
    <row r="19" spans="1:9" x14ac:dyDescent="0.25">
      <c r="A19" s="497" t="s">
        <v>38</v>
      </c>
      <c r="B19" s="498">
        <f>'kuni 2025 detsember tegevuskava'!B25</f>
        <v>0</v>
      </c>
      <c r="C19" s="498">
        <f>'kuni 2025 detsember tegevuskava'!C25</f>
        <v>1</v>
      </c>
      <c r="D19" s="498">
        <f>'kuni 2025 detsember tegevuskava'!D25</f>
        <v>1</v>
      </c>
      <c r="E19" s="498">
        <f>'kuni 2025 detsember tegevuskava'!E25</f>
        <v>0</v>
      </c>
      <c r="F19" s="498">
        <f>'kuni 2025 detsember tegevuskava'!F25</f>
        <v>0</v>
      </c>
      <c r="G19" s="498">
        <f>'kuni 2025 detsember tegevuskava'!G25</f>
        <v>0</v>
      </c>
      <c r="H19" s="498">
        <f>'kuni 2025 detsember tegevuskava'!H25</f>
        <v>0</v>
      </c>
      <c r="I19" s="499">
        <f>'kuni 2025 detsember tegevuskava'!I25</f>
        <v>1</v>
      </c>
    </row>
    <row r="20" spans="1:9" ht="30" x14ac:dyDescent="0.25">
      <c r="A20" s="491" t="s">
        <v>47</v>
      </c>
      <c r="B20" s="637" t="s">
        <v>48</v>
      </c>
      <c r="C20" s="638"/>
      <c r="D20" s="638"/>
      <c r="E20" s="638"/>
      <c r="F20" s="638"/>
      <c r="G20" s="638"/>
      <c r="H20" s="638"/>
      <c r="I20" s="639"/>
    </row>
    <row r="21" spans="1:9" ht="30" x14ac:dyDescent="0.25">
      <c r="A21" s="492" t="s">
        <v>29</v>
      </c>
      <c r="B21" s="106" t="s">
        <v>266</v>
      </c>
      <c r="C21" s="107" t="s">
        <v>267</v>
      </c>
      <c r="D21" s="107" t="s">
        <v>268</v>
      </c>
      <c r="E21" s="107" t="s">
        <v>269</v>
      </c>
      <c r="F21" s="107" t="s">
        <v>270</v>
      </c>
      <c r="G21" s="107" t="s">
        <v>271</v>
      </c>
      <c r="H21" s="107" t="s">
        <v>272</v>
      </c>
      <c r="I21" s="493" t="s">
        <v>273</v>
      </c>
    </row>
    <row r="22" spans="1:9" ht="15.75" thickBot="1" x14ac:dyDescent="0.3">
      <c r="A22" s="494" t="s">
        <v>38</v>
      </c>
      <c r="B22" s="495" t="str">
        <f>'kuni 2025 detsember tegevuskava'!B28&amp;"%"</f>
        <v>0%</v>
      </c>
      <c r="C22" s="495" t="str">
        <f>'kuni 2025 detsember tegevuskava'!C28&amp;"%"</f>
        <v>0%</v>
      </c>
      <c r="D22" s="495" t="str">
        <f>'kuni 2025 detsember tegevuskava'!D28&amp;"%"</f>
        <v>0%</v>
      </c>
      <c r="E22" s="495" t="str">
        <f>'kuni 2025 detsember tegevuskava'!E28&amp;"%"</f>
        <v>%</v>
      </c>
      <c r="F22" s="495" t="str">
        <f>'kuni 2025 detsember tegevuskava'!F28&amp;"%"</f>
        <v>%</v>
      </c>
      <c r="G22" s="495" t="str">
        <f>'kuni 2025 detsember tegevuskava'!G28&amp;"%"</f>
        <v>%</v>
      </c>
      <c r="H22" s="495" t="str">
        <f>'kuni 2025 detsember tegevuskava'!H28&amp;"%"</f>
        <v>%</v>
      </c>
      <c r="I22" s="496" t="str">
        <f>'kuni 2025 detsember tegevuskava'!I28&amp;"%"</f>
        <v>90%</v>
      </c>
    </row>
    <row r="25" spans="1:9" x14ac:dyDescent="0.25">
      <c r="A25" s="54"/>
    </row>
    <row r="26" spans="1:9" x14ac:dyDescent="0.25">
      <c r="A26" s="54"/>
    </row>
  </sheetData>
  <sheetProtection algorithmName="SHA-512" hashValue="0227IOHIXzTWduBBi4kH8s//aeVSDdkFQZjYlx6C9Y14+eVDjekKtkvAahYmmfnCJ/xef7bx1ajWiqITfanZEA==" saltValue="JY6rzdP1eUKBOWKBE7hSow==" spinCount="100000" sheet="1" objects="1" scenarios="1"/>
  <mergeCells count="4">
    <mergeCell ref="B17:I17"/>
    <mergeCell ref="B20:I20"/>
    <mergeCell ref="B11:I11"/>
    <mergeCell ref="B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93734-566D-4164-9349-C7CB173FC323}">
  <sheetPr codeName="Leht4"/>
  <dimension ref="B2:AA114"/>
  <sheetViews>
    <sheetView tabSelected="1" zoomScale="90" zoomScaleNormal="90" workbookViewId="0">
      <selection activeCell="I15" sqref="I15"/>
    </sheetView>
  </sheetViews>
  <sheetFormatPr defaultColWidth="8.7109375" defaultRowHeight="15" x14ac:dyDescent="0.25"/>
  <cols>
    <col min="1" max="1" width="2.7109375" style="1" customWidth="1"/>
    <col min="2" max="2" width="17.42578125" style="1" customWidth="1"/>
    <col min="3" max="3" width="34.42578125" style="1" customWidth="1"/>
    <col min="4" max="4" width="27.140625" style="1" customWidth="1"/>
    <col min="5" max="5" width="54.5703125" style="1" customWidth="1"/>
    <col min="6" max="6" width="11.140625" style="1" customWidth="1"/>
    <col min="7" max="7" width="2" style="1" customWidth="1"/>
    <col min="8" max="8" width="2.5703125" style="1" customWidth="1"/>
    <col min="9" max="9" width="11.42578125" style="1" customWidth="1"/>
    <col min="10" max="10" width="4.42578125" style="1" customWidth="1"/>
    <col min="11" max="11" width="12.5703125" style="1" customWidth="1"/>
    <col min="12" max="12" width="4.42578125" style="1" customWidth="1"/>
    <col min="13" max="13" width="12.85546875" style="1" customWidth="1"/>
    <col min="14" max="14" width="4.42578125" style="1" customWidth="1"/>
    <col min="15" max="15" width="11.5703125" style="1" customWidth="1"/>
    <col min="16" max="16" width="4.42578125" style="1" customWidth="1"/>
    <col min="17" max="17" width="8.7109375" style="1"/>
    <col min="18" max="19" width="10.85546875" style="1" customWidth="1"/>
    <col min="20" max="20" width="10.5703125" style="1" customWidth="1"/>
    <col min="21" max="16384" width="8.7109375" style="1"/>
  </cols>
  <sheetData>
    <row r="2" spans="2:27" ht="30.95" customHeight="1" x14ac:dyDescent="0.25">
      <c r="B2" s="643" t="s">
        <v>422</v>
      </c>
      <c r="C2" s="643"/>
      <c r="D2" s="643"/>
      <c r="E2" s="643"/>
      <c r="F2" s="643"/>
      <c r="G2" s="643"/>
      <c r="H2" s="643"/>
      <c r="I2" s="643"/>
      <c r="J2" s="643"/>
      <c r="K2" s="643"/>
      <c r="L2" s="643"/>
      <c r="M2" s="643"/>
      <c r="N2" s="643"/>
      <c r="O2" s="643"/>
      <c r="P2" s="643"/>
    </row>
    <row r="3" spans="2:27" ht="2.4500000000000002" customHeight="1" x14ac:dyDescent="0.25"/>
    <row r="4" spans="2:27" x14ac:dyDescent="0.25">
      <c r="B4" s="55" t="s">
        <v>274</v>
      </c>
    </row>
    <row r="6" spans="2:27" x14ac:dyDescent="0.25">
      <c r="B6" s="34" t="s">
        <v>275</v>
      </c>
    </row>
    <row r="7" spans="2:27" ht="30.95" customHeight="1" x14ac:dyDescent="0.25">
      <c r="B7" s="640" t="s">
        <v>276</v>
      </c>
      <c r="C7" s="641"/>
      <c r="D7" s="641"/>
      <c r="E7" s="641"/>
      <c r="F7" s="641"/>
      <c r="G7" s="641"/>
      <c r="H7" s="641"/>
      <c r="I7" s="641"/>
      <c r="J7" s="641"/>
      <c r="K7" s="641"/>
      <c r="L7" s="641"/>
      <c r="M7" s="641"/>
      <c r="N7" s="641"/>
      <c r="O7" s="641"/>
      <c r="P7" s="642"/>
      <c r="Q7" s="39"/>
      <c r="R7" s="39"/>
      <c r="S7" s="39"/>
      <c r="T7" s="39"/>
      <c r="U7" s="39"/>
    </row>
    <row r="8" spans="2:27" ht="29.1" customHeight="1" x14ac:dyDescent="0.25"/>
    <row r="9" spans="2:27" x14ac:dyDescent="0.25">
      <c r="B9" s="34" t="s">
        <v>277</v>
      </c>
    </row>
    <row r="10" spans="2:27" ht="36.950000000000003" customHeight="1" x14ac:dyDescent="0.25">
      <c r="B10" s="640" t="s">
        <v>278</v>
      </c>
      <c r="C10" s="641"/>
      <c r="D10" s="641"/>
      <c r="E10" s="641"/>
      <c r="F10" s="641"/>
      <c r="G10" s="641"/>
      <c r="H10" s="641"/>
      <c r="I10" s="641"/>
      <c r="J10" s="641"/>
      <c r="K10" s="641"/>
      <c r="L10" s="641"/>
      <c r="M10" s="641"/>
      <c r="N10" s="641"/>
      <c r="O10" s="641"/>
      <c r="P10" s="642"/>
      <c r="Q10" s="39"/>
      <c r="R10" s="39"/>
      <c r="S10" s="39"/>
      <c r="T10" s="39"/>
      <c r="U10" s="39"/>
    </row>
    <row r="12" spans="2:27" ht="15.75" thickBot="1" x14ac:dyDescent="0.3">
      <c r="B12" s="392" t="s">
        <v>279</v>
      </c>
      <c r="C12" s="161"/>
      <c r="D12" s="161"/>
      <c r="E12" s="161"/>
      <c r="F12" s="161"/>
      <c r="G12" s="73"/>
      <c r="H12" s="73"/>
      <c r="I12" s="73"/>
      <c r="J12" s="73"/>
      <c r="K12" s="190"/>
      <c r="L12" s="73"/>
      <c r="M12" s="73"/>
      <c r="N12" s="73"/>
      <c r="O12" s="73"/>
    </row>
    <row r="13" spans="2:27" ht="15.75" thickBot="1" x14ac:dyDescent="0.3">
      <c r="B13" s="393"/>
      <c r="C13" s="481" t="s">
        <v>280</v>
      </c>
      <c r="D13" s="395" t="s">
        <v>281</v>
      </c>
      <c r="E13" s="396" t="s">
        <v>282</v>
      </c>
      <c r="F13" s="397">
        <v>2025</v>
      </c>
      <c r="G13" s="73"/>
      <c r="H13" s="73"/>
      <c r="I13" s="73"/>
      <c r="J13" s="73"/>
      <c r="K13" s="385"/>
      <c r="L13" s="386"/>
      <c r="M13" s="386"/>
      <c r="N13" s="386"/>
      <c r="O13" s="190"/>
    </row>
    <row r="14" spans="2:27" ht="15.75" thickBot="1" x14ac:dyDescent="0.3">
      <c r="B14" s="398" t="s">
        <v>280</v>
      </c>
      <c r="C14" s="483">
        <f>SUM(D14:F14)</f>
        <v>1981987</v>
      </c>
      <c r="D14" s="480">
        <f>SUM(D15:D17)</f>
        <v>164933</v>
      </c>
      <c r="E14" s="399">
        <f t="shared" ref="E14:F14" si="0">SUM(E15:E17)</f>
        <v>550028</v>
      </c>
      <c r="F14" s="400">
        <f t="shared" si="0"/>
        <v>1267026</v>
      </c>
      <c r="G14" s="73"/>
      <c r="H14" s="73"/>
      <c r="I14" s="73"/>
      <c r="J14" s="73"/>
      <c r="K14" s="387"/>
      <c r="L14" s="388"/>
      <c r="M14" s="389"/>
      <c r="N14" s="389"/>
      <c r="O14" s="389"/>
    </row>
    <row r="15" spans="2:27" ht="33.6" customHeight="1" x14ac:dyDescent="0.25">
      <c r="B15" s="401" t="s">
        <v>283</v>
      </c>
      <c r="C15" s="482">
        <f t="shared" ref="C15:C17" si="1">SUM(D15:F15)</f>
        <v>316957</v>
      </c>
      <c r="D15" s="403" cm="1">
        <f t="array" ref="D15">SUM('kuni 2025 detsember tegevuskava'!X112:Z112+'kuni 2025 detsember tegevuskava'!X115:Z115+'kuni 2025 detsember tegevuskava'!X118:Z118+'kuni 2025 detsember tegevuskava'!X121:Z121)</f>
        <v>164933</v>
      </c>
      <c r="E15" s="404" cm="1">
        <f t="array" ref="E15">SUM('kuni 2025 detsember tegevuskava'!AA112:AC112+'kuni 2025 detsember tegevuskava'!AA115:AC115+'kuni 2025 detsember tegevuskava'!AA118:AC118+'kuni 2025 detsember tegevuskava'!AA121:AC121)</f>
        <v>90024</v>
      </c>
      <c r="F15" s="405" cm="1">
        <f t="array" ref="F15">SUM('kuni 2025 detsember tegevuskava'!AD112:AF112+'kuni 2025 detsember tegevuskava'!AD115:AF115+'kuni 2025 detsember tegevuskava'!AD118:AF118+'kuni 2025 detsember tegevuskava'!AD121:AF121)</f>
        <v>62000</v>
      </c>
      <c r="G15" s="73"/>
      <c r="H15" s="73"/>
      <c r="I15" s="73"/>
      <c r="J15" s="73"/>
      <c r="K15" s="387"/>
      <c r="L15" s="388"/>
      <c r="M15" s="390"/>
      <c r="N15" s="390"/>
      <c r="O15" s="391"/>
      <c r="Q15" s="643"/>
      <c r="R15" s="643"/>
      <c r="S15" s="643"/>
      <c r="T15" s="643"/>
      <c r="U15" s="643"/>
      <c r="V15" s="643"/>
      <c r="W15" s="643"/>
      <c r="X15" s="643"/>
      <c r="Y15" s="643"/>
      <c r="Z15" s="643"/>
      <c r="AA15" s="643"/>
    </row>
    <row r="16" spans="2:27" ht="36" customHeight="1" x14ac:dyDescent="0.25">
      <c r="B16" s="583" t="s">
        <v>284</v>
      </c>
      <c r="C16" s="402">
        <f t="shared" si="1"/>
        <v>1019530</v>
      </c>
      <c r="D16" s="406" cm="1">
        <f t="array" ref="D16">SUM('kuni 2025 detsember tegevuskava'!X97:Z97+'kuni 2025 detsember tegevuskava'!X100:Z100+'kuni 2025 detsember tegevuskava'!X103:Z103+'kuni 2025 detsember tegevuskava'!X106:Z106)</f>
        <v>0</v>
      </c>
      <c r="E16" s="407" cm="1">
        <f t="array" ref="E16">SUM('kuni 2025 detsember tegevuskava'!AA97:AC97+'kuni 2025 detsember tegevuskava'!AA100:AC100+'kuni 2025 detsember tegevuskava'!AA103:AC103+'kuni 2025 detsember tegevuskava'!AA106:AC106)</f>
        <v>400004</v>
      </c>
      <c r="F16" s="408" cm="1">
        <f t="array" ref="F16">SUM('kuni 2025 detsember tegevuskava'!AD97:AF97+'kuni 2025 detsember tegevuskava'!AD100:AF100+'kuni 2025 detsember tegevuskava'!AD103:AF103+'kuni 2025 detsember tegevuskava'!AD106:AF106)</f>
        <v>619526</v>
      </c>
      <c r="G16" s="73"/>
      <c r="H16" s="73"/>
      <c r="I16" s="73"/>
      <c r="J16" s="73"/>
      <c r="K16" s="387"/>
      <c r="L16" s="388"/>
      <c r="M16" s="390"/>
      <c r="N16" s="390"/>
      <c r="O16" s="391"/>
      <c r="Q16" s="643"/>
      <c r="R16" s="643"/>
      <c r="S16" s="643"/>
      <c r="T16" s="643"/>
      <c r="U16" s="643"/>
      <c r="V16" s="643"/>
      <c r="W16" s="643"/>
      <c r="X16" s="643"/>
      <c r="Y16" s="643"/>
      <c r="Z16" s="643"/>
      <c r="AA16" s="643"/>
    </row>
    <row r="17" spans="2:27" ht="35.1" customHeight="1" x14ac:dyDescent="0.25">
      <c r="B17" s="584" t="s">
        <v>285</v>
      </c>
      <c r="C17" s="409">
        <f t="shared" si="1"/>
        <v>645500</v>
      </c>
      <c r="D17" s="410" cm="1">
        <f t="array" ref="D17">SUM('kuni 2025 detsember tegevuskava'!X127:Z127+'kuni 2025 detsember tegevuskava'!X130:Z130+'kuni 2025 detsember tegevuskava'!X133:Z133+'kuni 2025 detsember tegevuskava'!X136:Z136)</f>
        <v>0</v>
      </c>
      <c r="E17" s="411" cm="1">
        <f t="array" ref="E17">SUM('kuni 2025 detsember tegevuskava'!AA127:AC127+'kuni 2025 detsember tegevuskava'!AA130:AC130+'kuni 2025 detsember tegevuskava'!AA133:AC133+'kuni 2025 detsember tegevuskava'!AA136:AC136)</f>
        <v>60000</v>
      </c>
      <c r="F17" s="412" cm="1">
        <f t="array" ref="F17">SUM('kuni 2025 detsember tegevuskava'!AD127:AF127+'kuni 2025 detsember tegevuskava'!AD130:AF130+'kuni 2025 detsember tegevuskava'!AD133:AF133+'kuni 2025 detsember tegevuskava'!AD136:AF136)</f>
        <v>585500</v>
      </c>
      <c r="G17" s="73"/>
      <c r="H17" s="73"/>
      <c r="I17" s="73"/>
      <c r="J17" s="73"/>
      <c r="K17" s="387"/>
      <c r="L17" s="388"/>
      <c r="M17" s="390"/>
      <c r="N17" s="390"/>
      <c r="O17" s="391"/>
      <c r="Q17" s="643"/>
      <c r="R17" s="643"/>
      <c r="S17" s="643"/>
      <c r="T17" s="643"/>
      <c r="U17" s="643"/>
      <c r="V17" s="643"/>
      <c r="W17" s="643"/>
      <c r="X17" s="643"/>
      <c r="Y17" s="643"/>
      <c r="Z17" s="643"/>
      <c r="AA17" s="643"/>
    </row>
    <row r="18" spans="2:27" x14ac:dyDescent="0.25">
      <c r="B18" s="161"/>
      <c r="C18" s="161"/>
      <c r="D18" s="161"/>
      <c r="E18" s="161"/>
      <c r="F18" s="161"/>
      <c r="G18" s="73"/>
      <c r="H18" s="73"/>
      <c r="I18" s="73"/>
      <c r="J18" s="73"/>
      <c r="K18" s="73"/>
      <c r="L18" s="73"/>
      <c r="M18" s="73"/>
      <c r="N18" s="73"/>
      <c r="O18" s="73"/>
    </row>
    <row r="19" spans="2:27" x14ac:dyDescent="0.25">
      <c r="B19" s="161"/>
      <c r="C19" s="161"/>
      <c r="D19" s="161"/>
      <c r="E19" s="161"/>
      <c r="F19" s="161"/>
      <c r="G19" s="73"/>
      <c r="H19" s="73"/>
      <c r="I19" s="73"/>
      <c r="J19" s="73"/>
      <c r="K19" s="73"/>
      <c r="L19" s="73"/>
      <c r="M19" s="73"/>
      <c r="N19" s="73"/>
      <c r="O19" s="73"/>
    </row>
    <row r="20" spans="2:27" ht="15.75" thickBot="1" x14ac:dyDescent="0.3">
      <c r="B20" s="392" t="s">
        <v>286</v>
      </c>
      <c r="C20" s="161"/>
      <c r="D20" s="161"/>
      <c r="E20" s="161"/>
      <c r="F20" s="161"/>
      <c r="G20" s="73"/>
      <c r="H20" s="73"/>
      <c r="I20" s="73"/>
      <c r="J20" s="73"/>
      <c r="K20" s="73"/>
      <c r="L20" s="73"/>
      <c r="M20" s="73"/>
      <c r="N20" s="73"/>
      <c r="O20" s="73"/>
    </row>
    <row r="21" spans="2:27" ht="15.75" thickBot="1" x14ac:dyDescent="0.3">
      <c r="B21" s="393"/>
      <c r="C21" s="413" t="s">
        <v>280</v>
      </c>
      <c r="D21" s="486" t="s">
        <v>281</v>
      </c>
      <c r="E21" s="488" t="s">
        <v>282</v>
      </c>
      <c r="F21" s="394" t="s">
        <v>287</v>
      </c>
      <c r="G21" s="73"/>
      <c r="H21" s="73"/>
      <c r="I21" s="73"/>
      <c r="J21" s="73"/>
      <c r="K21" s="73"/>
      <c r="L21" s="73"/>
      <c r="M21" s="73"/>
      <c r="N21" s="73"/>
      <c r="O21" s="73"/>
    </row>
    <row r="22" spans="2:27" ht="15.75" thickBot="1" x14ac:dyDescent="0.3">
      <c r="B22" s="414" t="s">
        <v>288</v>
      </c>
      <c r="C22" s="415">
        <f>SUM(D22:F22)</f>
        <v>1160110</v>
      </c>
      <c r="D22" s="484">
        <f>SUM(D23:D26)</f>
        <v>0</v>
      </c>
      <c r="E22" s="487">
        <f t="shared" ref="E22:F22" si="2">SUM(E23:E26)</f>
        <v>453244</v>
      </c>
      <c r="F22" s="485">
        <f t="shared" si="2"/>
        <v>706866</v>
      </c>
      <c r="G22" s="73"/>
      <c r="H22" s="73"/>
      <c r="I22" s="73"/>
      <c r="J22" s="73"/>
      <c r="K22" s="73"/>
      <c r="L22" s="73"/>
      <c r="M22" s="73"/>
      <c r="N22" s="73"/>
      <c r="O22" s="73"/>
    </row>
    <row r="23" spans="2:27" ht="60" x14ac:dyDescent="0.25">
      <c r="B23" s="416" t="s">
        <v>7</v>
      </c>
      <c r="C23" s="417">
        <f>SUM(D23:F23)</f>
        <v>519636</v>
      </c>
      <c r="D23" s="418">
        <f>SUM('kuni 2025 detsember tegevuskava'!X98:Z98)</f>
        <v>0</v>
      </c>
      <c r="E23" s="419">
        <f>SUM('kuni 2025 detsember tegevuskava'!AA98:AC98)</f>
        <v>153286</v>
      </c>
      <c r="F23" s="420">
        <f>SUM('kuni 2025 detsember tegevuskava'!AD98:AF98)</f>
        <v>366350</v>
      </c>
      <c r="G23" s="73"/>
      <c r="H23" s="73"/>
      <c r="I23" s="73"/>
      <c r="J23" s="73"/>
      <c r="K23" s="73"/>
      <c r="L23" s="73"/>
      <c r="M23" s="73"/>
      <c r="N23" s="73"/>
      <c r="O23" s="73"/>
    </row>
    <row r="24" spans="2:27" ht="72" x14ac:dyDescent="0.25">
      <c r="B24" s="416" t="s">
        <v>262</v>
      </c>
      <c r="C24" s="421">
        <f t="shared" ref="C24:C26" si="3">SUM(D24:F24)</f>
        <v>174952</v>
      </c>
      <c r="D24" s="422">
        <f>SUM('kuni 2025 detsember tegevuskava'!X101:Z101)</f>
        <v>0</v>
      </c>
      <c r="E24" s="423">
        <f>SUM('kuni 2025 detsember tegevuskava'!AA101:AC101)</f>
        <v>117976</v>
      </c>
      <c r="F24" s="424">
        <f>SUM('kuni 2025 detsember tegevuskava'!AD101:AF101)</f>
        <v>56976</v>
      </c>
      <c r="G24" s="73"/>
      <c r="H24" s="73"/>
      <c r="I24" s="73"/>
      <c r="J24" s="73"/>
      <c r="K24" s="73"/>
      <c r="L24" s="73"/>
      <c r="M24" s="73"/>
      <c r="N24" s="73"/>
      <c r="O24" s="73"/>
    </row>
    <row r="25" spans="2:27" ht="132" x14ac:dyDescent="0.25">
      <c r="B25" s="416" t="s">
        <v>263</v>
      </c>
      <c r="C25" s="421">
        <f t="shared" si="3"/>
        <v>151280</v>
      </c>
      <c r="D25" s="422">
        <f>SUM('kuni 2025 detsember tegevuskava'!X104:Z104)</f>
        <v>0</v>
      </c>
      <c r="E25" s="423">
        <f>SUM('kuni 2025 detsember tegevuskava'!AA104:AC104)</f>
        <v>75640</v>
      </c>
      <c r="F25" s="424">
        <f>SUM('kuni 2025 detsember tegevuskava'!AD104:AF104)</f>
        <v>75640</v>
      </c>
      <c r="G25" s="73"/>
      <c r="H25" s="73"/>
      <c r="I25" s="73"/>
      <c r="J25" s="73"/>
      <c r="K25" s="73"/>
      <c r="L25" s="73"/>
      <c r="M25" s="73"/>
      <c r="N25" s="73"/>
      <c r="O25" s="73"/>
    </row>
    <row r="26" spans="2:27" ht="83.1" customHeight="1" thickBot="1" x14ac:dyDescent="0.3">
      <c r="B26" s="425" t="s">
        <v>264</v>
      </c>
      <c r="C26" s="426">
        <f t="shared" si="3"/>
        <v>314242</v>
      </c>
      <c r="D26" s="427">
        <f>SUM('kuni 2025 detsember tegevuskava'!X107:Z107)</f>
        <v>0</v>
      </c>
      <c r="E26" s="428">
        <f>SUM('kuni 2025 detsember tegevuskava'!AA107:AC107)</f>
        <v>106342</v>
      </c>
      <c r="F26" s="429">
        <f>SUM('kuni 2025 detsember tegevuskava'!AD107:AF107)</f>
        <v>207900</v>
      </c>
      <c r="G26" s="73"/>
      <c r="H26" s="73"/>
      <c r="I26" s="73"/>
      <c r="J26" s="73"/>
      <c r="K26" s="73"/>
      <c r="L26" s="73"/>
      <c r="M26" s="73"/>
      <c r="N26" s="73"/>
      <c r="O26" s="73"/>
    </row>
    <row r="27" spans="2:27" ht="60" customHeight="1" x14ac:dyDescent="0.25"/>
    <row r="28" spans="2:27" ht="45" customHeight="1" thickBot="1" x14ac:dyDescent="0.3"/>
    <row r="29" spans="2:27" ht="30.6" customHeight="1" x14ac:dyDescent="0.25">
      <c r="B29" s="650" t="s">
        <v>289</v>
      </c>
      <c r="C29" s="652" t="s">
        <v>60</v>
      </c>
      <c r="D29" s="652" t="s">
        <v>61</v>
      </c>
      <c r="E29" s="162" t="s">
        <v>62</v>
      </c>
      <c r="F29" s="654" t="s">
        <v>290</v>
      </c>
      <c r="G29" s="612"/>
      <c r="H29" s="655"/>
      <c r="I29" s="644" t="s">
        <v>68</v>
      </c>
      <c r="J29" s="645"/>
      <c r="K29" s="644" t="s">
        <v>291</v>
      </c>
      <c r="L29" s="645"/>
      <c r="M29" s="644" t="s">
        <v>292</v>
      </c>
      <c r="N29" s="645"/>
      <c r="O29" s="644" t="s">
        <v>293</v>
      </c>
      <c r="P29" s="648"/>
    </row>
    <row r="30" spans="2:27" ht="15.75" thickBot="1" x14ac:dyDescent="0.3">
      <c r="B30" s="651"/>
      <c r="C30" s="653"/>
      <c r="D30" s="653"/>
      <c r="E30" s="56"/>
      <c r="F30" s="656"/>
      <c r="G30" s="656"/>
      <c r="H30" s="657"/>
      <c r="I30" s="646" t="s">
        <v>294</v>
      </c>
      <c r="J30" s="647"/>
      <c r="K30" s="646" t="s">
        <v>294</v>
      </c>
      <c r="L30" s="647"/>
      <c r="M30" s="646" t="s">
        <v>294</v>
      </c>
      <c r="N30" s="647"/>
      <c r="O30" s="646" t="s">
        <v>294</v>
      </c>
      <c r="P30" s="649"/>
    </row>
    <row r="31" spans="2:27" ht="15.75" thickBot="1" x14ac:dyDescent="0.3">
      <c r="B31" s="140" t="s">
        <v>295</v>
      </c>
      <c r="C31" s="141"/>
      <c r="D31" s="141"/>
      <c r="E31" s="141"/>
      <c r="F31" s="142"/>
      <c r="G31" s="143"/>
      <c r="H31" s="144"/>
      <c r="I31" s="138">
        <f>SUM(I32:I34)</f>
        <v>1981987</v>
      </c>
      <c r="J31" s="128"/>
      <c r="K31" s="129">
        <f>SUM(K32:K34)</f>
        <v>164933</v>
      </c>
      <c r="L31" s="130"/>
      <c r="M31" s="129">
        <f>SUM(M32:M34)</f>
        <v>550028</v>
      </c>
      <c r="N31" s="128"/>
      <c r="O31" s="129">
        <f>SUM(O32:O34)</f>
        <v>1267026</v>
      </c>
      <c r="P31" s="131"/>
    </row>
    <row r="32" spans="2:27" x14ac:dyDescent="0.25">
      <c r="B32" s="145"/>
      <c r="C32" s="8"/>
      <c r="D32" s="8"/>
      <c r="E32" s="8"/>
      <c r="F32" s="132"/>
      <c r="G32" s="8"/>
      <c r="H32" s="146"/>
      <c r="I32" s="118">
        <f>SUM(I49+I82)</f>
        <v>665500</v>
      </c>
      <c r="J32" s="116" t="str">
        <f>"(15)"</f>
        <v>(15)</v>
      </c>
      <c r="K32" s="59">
        <f>SUM(K49+K82)</f>
        <v>0</v>
      </c>
      <c r="L32" s="116" t="str">
        <f>"(15)"</f>
        <v>(15)</v>
      </c>
      <c r="M32" s="59">
        <f>SUM(M49+M82)</f>
        <v>100000</v>
      </c>
      <c r="N32" s="116" t="str">
        <f>"(15)"</f>
        <v>(15)</v>
      </c>
      <c r="O32" s="59">
        <f>SUM(O49+O82)</f>
        <v>565500</v>
      </c>
      <c r="P32" s="62" t="str">
        <f>"(15)"</f>
        <v>(15)</v>
      </c>
      <c r="Q32" s="225"/>
      <c r="S32" s="225"/>
    </row>
    <row r="33" spans="2:17" ht="17.25" x14ac:dyDescent="0.25">
      <c r="B33" s="133"/>
      <c r="C33" s="8"/>
      <c r="D33" s="8"/>
      <c r="E33" s="8"/>
      <c r="F33" s="132"/>
      <c r="G33" s="8"/>
      <c r="H33" s="163"/>
      <c r="I33" s="118">
        <f>SUM(I36+I50+I56+I63+I75+I83+I96+I103)</f>
        <v>706701</v>
      </c>
      <c r="J33" s="116" t="str">
        <f>"(50)"</f>
        <v>(50)</v>
      </c>
      <c r="K33" s="59">
        <f>SUM(K36+K50+K56+K63+K75+K83+K96+K103)</f>
        <v>152647</v>
      </c>
      <c r="L33" s="116" t="str">
        <f>"(50)"</f>
        <v>(50)</v>
      </c>
      <c r="M33" s="59">
        <f>SUM(M36+M50+M56+M63+M75+M83+M96+M103)</f>
        <v>229528</v>
      </c>
      <c r="N33" s="116" t="str">
        <f>"(50)"</f>
        <v>(50)</v>
      </c>
      <c r="O33" s="59">
        <f>SUM(O36+O50+O56+O63+O75+O83+O96+O103)</f>
        <v>324526</v>
      </c>
      <c r="P33" s="62" t="str">
        <f>"(50)"</f>
        <v>(50)</v>
      </c>
      <c r="Q33" s="225"/>
    </row>
    <row r="34" spans="2:17" ht="42" customHeight="1" thickBot="1" x14ac:dyDescent="0.3">
      <c r="B34" s="133"/>
      <c r="C34" s="8"/>
      <c r="D34" s="8"/>
      <c r="E34" s="8"/>
      <c r="F34" s="132"/>
      <c r="G34" s="8"/>
      <c r="H34" s="163"/>
      <c r="I34" s="118">
        <f>SUM(I37+I44+I57+I64+I70+I76+I84+I91+I97+I104)</f>
        <v>609786</v>
      </c>
      <c r="J34" s="116" t="str">
        <f>"(55)"</f>
        <v>(55)</v>
      </c>
      <c r="K34" s="59">
        <f>SUM(K37+K44+K57+K64+K70+K76+K84+K91+K97+K104)</f>
        <v>12286</v>
      </c>
      <c r="L34" s="116" t="str">
        <f>"(55)"</f>
        <v>(55)</v>
      </c>
      <c r="M34" s="59">
        <f>SUM(M37+M44+M57+M64+M70+M76+M84+M91+M97+M104)</f>
        <v>220500</v>
      </c>
      <c r="N34" s="116" t="str">
        <f>"(55)"</f>
        <v>(55)</v>
      </c>
      <c r="O34" s="59">
        <f>SUM(O37+O44+O57+O64+O70+O76+O84+O91+O97+O104)</f>
        <v>377000</v>
      </c>
      <c r="P34" s="62" t="str">
        <f>"(55)"</f>
        <v>(55)</v>
      </c>
      <c r="Q34" s="225"/>
    </row>
    <row r="35" spans="2:17" ht="14.45" customHeight="1" x14ac:dyDescent="0.25">
      <c r="B35" s="658" t="s">
        <v>296</v>
      </c>
      <c r="C35" s="669" t="str">
        <f>'kuni 2025 detsember tegevuskava'!I35</f>
        <v>KOV infosüsteemide analüüsi põhjal:
KOVidel puudub enamasti ülevaade pakutavatest teenustest
Ametnike ega lõppkasutajate rahulolu teenustega reeglina ei mõõdeta
Arendusvajadused on enamasti suunatud automatiseerimisele ja käsitöö vähendamisele ametniku poolt
Teenuste üle kontroll puudub</v>
      </c>
      <c r="D35" s="669" t="str">
        <f>'kuni 2025 detsember tegevuskava'!J35</f>
        <v>KOV avalike teenuste kaardistamise mudel ja ühtne kasutajate rahulolu mõõtmise süsteem</v>
      </c>
      <c r="E35" s="669" t="str">
        <f>'kuni 2025 detsember tegevuskava'!K35</f>
        <v xml:space="preserve">2024 – projektijuhi värbamine, KOVide KOKSist tulenevate avalike teenuste esmane kaardistamine koostöös MKMi teenuste tiimiga KOV teenuste arendajatega pilootrühma baasil (5 KOVi). Jätkutegevuste kavandamine KOV teenuste esmase kaardistusest tulenevalt. Võimalikud tegevused: teenuste kaardistuse laiendamine kõikidele omavalitsustele; KOV teenuste standardi väljatöötamine ja valideerimine KOVidega; ühtse kasutajate rahulolu mõõtmise mudeli ja süsteemi analüüs 2025 - analüüsi tulemusena kasutajate rahulolu süsteemi arendus ja juurutamine. Lõpptulemus: KOVidel tekib ülevaade oma teenustest ja protsessidest ehk nn äripoole vajadustest; tervikpilt KOV (e-)teenustest ja kattuvusest riigiasutuste teenustega; KOV teenuste seotus sündmusteenustega; kasutajate rahulolu mõõtmine ja parendused on juurutatud teenuse osutamise protsessi.   </v>
      </c>
      <c r="F35" s="672" t="str">
        <f>'kuni 2025 detsember tegevuskava'!P35&amp;"/"</f>
        <v>SF 21-27 (taotletav raha)/</v>
      </c>
      <c r="G35" s="554" cm="1">
        <f t="array" ref="G35">_xlfn.IFS('kuni 2025 detsember tegevuskava'!G35='kuni 2025 detsember tegevuskava'!$G$97,1,'kuni 2025 detsember tegevuskava'!G35='kuni 2025 detsember tegevuskava'!$G$98,2,'kuni 2025 detsember tegevuskava'!G35='kuni 2025 detsember tegevuskava'!$G$99,3,'kuni 2025 detsember tegevuskava'!G35='kuni 2025 detsember tegevuskava'!$G$100,4)</f>
        <v>4</v>
      </c>
      <c r="H35" s="543" cm="1">
        <f t="array" ref="H35">_xlfn.IFS(OR('kuni 2025 detsember tegevuskava'!P35='kuni 2025 detsember tegevuskava'!$P$97,'kuni 2025 detsember tegevuskava'!P35='kuni 2025 detsember tegevuskava'!$P$99,'kuni 2025 detsember tegevuskava'!P35='kuni 2025 detsember tegevuskava'!$P$100,'kuni 2025 detsember tegevuskava'!P35='kuni 2025 detsember tegevuskava'!$P$101),1,'kuni 2025 detsember tegevuskava'!P35='kuni 2025 detsember tegevuskava'!$P$102,2,'kuni 2025 detsember tegevuskava'!P35='kuni 2025 detsember tegevuskava'!$P$103,2,'kuni 2025 detsember tegevuskava'!P35='kuni 2025 detsember tegevuskava'!$P$98,3)</f>
        <v>2</v>
      </c>
      <c r="I35" s="544">
        <f>SUM(I36:I37)</f>
        <v>172809</v>
      </c>
      <c r="J35" s="555"/>
      <c r="K35" s="548">
        <f>SUM(K36:K37)</f>
        <v>0</v>
      </c>
      <c r="L35" s="556"/>
      <c r="M35" s="548">
        <f>SUM(M36:M37)</f>
        <v>57609</v>
      </c>
      <c r="N35" s="549"/>
      <c r="O35" s="548">
        <f>SUM(O36:O37)</f>
        <v>115200</v>
      </c>
      <c r="P35" s="550"/>
    </row>
    <row r="36" spans="2:17" ht="17.25" x14ac:dyDescent="0.25">
      <c r="B36" s="659"/>
      <c r="C36" s="670"/>
      <c r="D36" s="670"/>
      <c r="E36" s="670"/>
      <c r="F36" s="673"/>
      <c r="G36" s="536"/>
      <c r="H36" s="164"/>
      <c r="I36" s="126">
        <f t="shared" ref="I36" si="4">SUM(K36+M36+O36)</f>
        <v>82809</v>
      </c>
      <c r="J36" s="116" t="str">
        <f>"(50)"</f>
        <v>(50)</v>
      </c>
      <c r="K36" s="59">
        <f>'kuni 2025 detsember tegevuskava'!Y35</f>
        <v>0</v>
      </c>
      <c r="L36" s="116" t="str">
        <f>"(50)"</f>
        <v>(50)</v>
      </c>
      <c r="M36" s="59">
        <f>'kuni 2025 detsember tegevuskava'!AB35</f>
        <v>27609</v>
      </c>
      <c r="N36" s="116" t="str">
        <f>"(50)"</f>
        <v>(50)</v>
      </c>
      <c r="O36" s="59">
        <f>'kuni 2025 detsember tegevuskava'!AE35</f>
        <v>55200</v>
      </c>
      <c r="P36" s="551" t="str">
        <f>"(50)"</f>
        <v>(50)</v>
      </c>
    </row>
    <row r="37" spans="2:17" ht="17.25" x14ac:dyDescent="0.25">
      <c r="B37" s="659"/>
      <c r="C37" s="670"/>
      <c r="D37" s="670"/>
      <c r="E37" s="670"/>
      <c r="F37" s="673"/>
      <c r="G37" s="536"/>
      <c r="H37" s="164"/>
      <c r="I37" s="126">
        <f>SUM(K37+M37+O37)</f>
        <v>90000</v>
      </c>
      <c r="J37" s="116" t="str">
        <f>"(55)"</f>
        <v>(55)</v>
      </c>
      <c r="K37" s="147">
        <f>'kuni 2025 detsember tegevuskava'!Z35</f>
        <v>0</v>
      </c>
      <c r="L37" s="116" t="str">
        <f>"(55)"</f>
        <v>(55)</v>
      </c>
      <c r="M37" s="147">
        <f>'kuni 2025 detsember tegevuskava'!AC35</f>
        <v>30000</v>
      </c>
      <c r="N37" s="116" t="str">
        <f>"(55)"</f>
        <v>(55)</v>
      </c>
      <c r="O37" s="147">
        <f>'kuni 2025 detsember tegevuskava'!AF35</f>
        <v>60000</v>
      </c>
      <c r="P37" s="551" t="str">
        <f>"(55)"</f>
        <v>(55)</v>
      </c>
    </row>
    <row r="38" spans="2:17" ht="17.25" x14ac:dyDescent="0.25">
      <c r="B38" s="659"/>
      <c r="C38" s="670"/>
      <c r="D38" s="670"/>
      <c r="E38" s="670"/>
      <c r="F38" s="673"/>
      <c r="G38" s="536"/>
      <c r="H38" s="164"/>
      <c r="I38" s="125" t="s">
        <v>297</v>
      </c>
      <c r="J38" s="148"/>
      <c r="K38" s="89"/>
      <c r="L38" s="92"/>
      <c r="M38" s="89"/>
      <c r="N38" s="92"/>
      <c r="O38" s="89"/>
      <c r="P38" s="557"/>
    </row>
    <row r="39" spans="2:17" ht="17.25" x14ac:dyDescent="0.25">
      <c r="B39" s="659"/>
      <c r="C39" s="670"/>
      <c r="D39" s="670"/>
      <c r="E39" s="670"/>
      <c r="F39" s="673"/>
      <c r="G39" s="536"/>
      <c r="H39" s="164"/>
      <c r="I39" s="127">
        <f>SUM(I40:I41)</f>
        <v>192609</v>
      </c>
      <c r="J39" s="116"/>
      <c r="K39" s="137">
        <f>SUM(K40:K41)</f>
        <v>0</v>
      </c>
      <c r="L39" s="150"/>
      <c r="M39" s="134">
        <f>SUM(M40:M41)</f>
        <v>64209</v>
      </c>
      <c r="N39" s="97"/>
      <c r="O39" s="134">
        <f>SUM(O40:O41)</f>
        <v>128400</v>
      </c>
      <c r="P39" s="557"/>
    </row>
    <row r="40" spans="2:17" ht="17.25" x14ac:dyDescent="0.25">
      <c r="B40" s="659"/>
      <c r="C40" s="670"/>
      <c r="D40" s="670"/>
      <c r="E40" s="670"/>
      <c r="F40" s="673"/>
      <c r="G40" s="536"/>
      <c r="H40" s="164"/>
      <c r="I40" s="126">
        <f t="shared" ref="I40" si="5">SUM(K40+M40+O40)</f>
        <v>82809</v>
      </c>
      <c r="J40" s="116" t="str">
        <f>"(50)"</f>
        <v>(50)</v>
      </c>
      <c r="K40" s="59">
        <f>K36</f>
        <v>0</v>
      </c>
      <c r="L40" s="116" t="str">
        <f>"(50)"</f>
        <v>(50)</v>
      </c>
      <c r="M40" s="59">
        <f>M36</f>
        <v>27609</v>
      </c>
      <c r="N40" s="116" t="str">
        <f>"(50)"</f>
        <v>(50)</v>
      </c>
      <c r="O40" s="59">
        <f>O36</f>
        <v>55200</v>
      </c>
      <c r="P40" s="551" t="str">
        <f>"(50)"</f>
        <v>(50)</v>
      </c>
    </row>
    <row r="41" spans="2:17" ht="132.94999999999999" customHeight="1" x14ac:dyDescent="0.25">
      <c r="B41" s="660"/>
      <c r="C41" s="671"/>
      <c r="D41" s="671"/>
      <c r="E41" s="671"/>
      <c r="F41" s="674"/>
      <c r="G41" s="536"/>
      <c r="H41" s="164"/>
      <c r="I41" s="126">
        <f>SUM(K41+M41+O41)</f>
        <v>109800</v>
      </c>
      <c r="J41" s="116" t="str">
        <f>"(55)"</f>
        <v>(55)</v>
      </c>
      <c r="K41" s="59">
        <f>SUM(K37*1.2)</f>
        <v>0</v>
      </c>
      <c r="L41" s="116" t="str">
        <f>"(55)"</f>
        <v>(55)</v>
      </c>
      <c r="M41" s="59">
        <f>SUM(M37*1.22)</f>
        <v>36600</v>
      </c>
      <c r="N41" s="116" t="str">
        <f>"(55)"</f>
        <v>(55)</v>
      </c>
      <c r="O41" s="59">
        <f>SUM(O37*1.22)</f>
        <v>73200</v>
      </c>
      <c r="P41" s="551" t="str">
        <f>"(55)"</f>
        <v>(55)</v>
      </c>
    </row>
    <row r="42" spans="2:17" ht="0.95" customHeight="1" thickBot="1" x14ac:dyDescent="0.3">
      <c r="B42" s="566"/>
      <c r="C42" s="567"/>
      <c r="D42" s="567"/>
      <c r="E42" s="567"/>
      <c r="F42" s="568"/>
      <c r="G42" s="8"/>
      <c r="H42" s="164"/>
      <c r="I42" s="118"/>
      <c r="J42" s="116"/>
      <c r="K42" s="118"/>
      <c r="L42" s="116"/>
      <c r="M42" s="118"/>
      <c r="N42" s="116"/>
      <c r="O42" s="118"/>
      <c r="P42" s="551"/>
    </row>
    <row r="43" spans="2:17" ht="17.25" x14ac:dyDescent="0.25">
      <c r="B43" s="658" t="s">
        <v>296</v>
      </c>
      <c r="C43" s="669" t="str">
        <f>'kuni 2025 detsember tegevuskava'!I36</f>
        <v>KOV infosüsteemide analüüsile tuginedes:
KOVide teenustega seotud kompetentsid on madalad
Ametnike ega lõppkasutajate rahulolu teenustega reeglina ei mõõdeta
Kasutajakeskne mõtteviis puudub, kasutajakogemusega tegelevad vaid üksikud omavalitsused</v>
      </c>
      <c r="D43" s="669" t="str">
        <f>'kuni 2025 detsember tegevuskava'!J36</f>
        <v xml:space="preserve">KOV teenuste omanike arenguprogramm ja KOV digikompetentside kasvatamine </v>
      </c>
      <c r="E43" s="669" t="str">
        <f>'kuni 2025 detsember tegevuskava'!K36</f>
        <v>2024 – koostöös MKMi oskuste tiimi ja KOV personalivõrgustikuga detailsema plaani koostamine KOV digikompetentside kasvatamisekes, koolitusprogrammi hanke läbiviimine. Koolituse korraldamine 2024.a sügisel esmalt pilootgrupiga. Hinnanguliselt koolitatavate arv kokku:  250. Tegevus jätkub 2025.a KOV-ide teenuste eest vastutajad ehk nn äripoole omanikud saavad aru teenuspõhisest juhtimisest ja selleks tehnoloogia kasutamisest, sh turvalisuse, kasutajakogemuse, andmekaitse, teenusedisaini jm põhimõtetest. Koolitustel on suur rõhk praktilistel harjutustel ja grupitööl. Loob eeldused teenuste juhtimise konsolideerimiseks KOV teenusvaldkondades.            Pidev tegevus - Digiriigi Akadeemia jt riigi kesksete koolituste teavitustegevus KOVide suunal.</v>
      </c>
      <c r="F43" s="669" t="str">
        <f>'kuni 2025 detsember tegevuskava'!P36&amp;"/"</f>
        <v>SF 21-27 (taotletav raha)/</v>
      </c>
      <c r="G43" s="542" cm="1">
        <f t="array" ref="G43">_xlfn.IFS('kuni 2025 detsember tegevuskava'!G36='kuni 2025 detsember tegevuskava'!$G$97,1,'kuni 2025 detsember tegevuskava'!G36='kuni 2025 detsember tegevuskava'!$G$98,2,'kuni 2025 detsember tegevuskava'!G36='kuni 2025 detsember tegevuskava'!$G$99,3,'kuni 2025 detsember tegevuskava'!G36='kuni 2025 detsember tegevuskava'!$G$100,4)</f>
        <v>3</v>
      </c>
      <c r="H43" s="559" cm="1">
        <f t="array" ref="H43">_xlfn.IFS(OR('kuni 2025 detsember tegevuskava'!P36='kuni 2025 detsember tegevuskava'!$P$97,'kuni 2025 detsember tegevuskava'!P36='kuni 2025 detsember tegevuskava'!$P$99,'kuni 2025 detsember tegevuskava'!P36='kuni 2025 detsember tegevuskava'!$P$100,'kuni 2025 detsember tegevuskava'!P36='kuni 2025 detsember tegevuskava'!$P$101),1,'kuni 2025 detsember tegevuskava'!P36='kuni 2025 detsember tegevuskava'!$P$102,2,'kuni 2025 detsember tegevuskava'!P36='kuni 2025 detsember tegevuskava'!$P$103,2,'kuni 2025 detsember tegevuskava'!P36='kuni 2025 detsember tegevuskava'!$P$98,3)</f>
        <v>2</v>
      </c>
      <c r="I43" s="548">
        <f>SUM(I44:I44)</f>
        <v>100000</v>
      </c>
      <c r="J43" s="545"/>
      <c r="K43" s="544">
        <f>SUM(K44:K44)</f>
        <v>0</v>
      </c>
      <c r="L43" s="560"/>
      <c r="M43" s="544">
        <f>SUM(M44:M44)</f>
        <v>50000</v>
      </c>
      <c r="N43" s="549"/>
      <c r="O43" s="548">
        <f>SUM(O44:O44)</f>
        <v>50000</v>
      </c>
      <c r="P43" s="550"/>
    </row>
    <row r="44" spans="2:17" ht="17.25" x14ac:dyDescent="0.25">
      <c r="B44" s="659"/>
      <c r="C44" s="670"/>
      <c r="D44" s="670"/>
      <c r="E44" s="670"/>
      <c r="F44" s="670"/>
      <c r="G44" s="8"/>
      <c r="H44" s="558"/>
      <c r="I44" s="118">
        <f t="shared" ref="I44" si="6">SUM(K44+M44+O44)</f>
        <v>100000</v>
      </c>
      <c r="J44" s="60" t="str">
        <f>"(55)"</f>
        <v>(55)</v>
      </c>
      <c r="K44" s="61">
        <f>'kuni 2025 detsember tegevuskava'!Z36</f>
        <v>0</v>
      </c>
      <c r="L44" s="60" t="str">
        <f>"(55)"</f>
        <v>(55)</v>
      </c>
      <c r="M44" s="61">
        <f>'kuni 2025 detsember tegevuskava'!AC36</f>
        <v>50000</v>
      </c>
      <c r="N44" s="60" t="str">
        <f>"(55)"</f>
        <v>(55)</v>
      </c>
      <c r="O44" s="61">
        <f>'kuni 2025 detsember tegevuskava'!AF36</f>
        <v>50000</v>
      </c>
      <c r="P44" s="561" t="str">
        <f>"(55)"</f>
        <v>(55)</v>
      </c>
    </row>
    <row r="45" spans="2:17" ht="17.25" x14ac:dyDescent="0.25">
      <c r="B45" s="659"/>
      <c r="C45" s="670"/>
      <c r="D45" s="670"/>
      <c r="E45" s="670"/>
      <c r="F45" s="670"/>
      <c r="G45" s="8"/>
      <c r="H45" s="558"/>
      <c r="I45" s="98" t="s">
        <v>297</v>
      </c>
      <c r="J45" s="8"/>
      <c r="K45" s="8"/>
      <c r="L45" s="8"/>
      <c r="M45" s="8"/>
      <c r="N45" s="8"/>
      <c r="O45" s="8"/>
      <c r="P45" s="562"/>
    </row>
    <row r="46" spans="2:17" ht="17.25" x14ac:dyDescent="0.25">
      <c r="B46" s="659"/>
      <c r="C46" s="670"/>
      <c r="D46" s="670"/>
      <c r="E46" s="670"/>
      <c r="F46" s="670"/>
      <c r="G46" s="8"/>
      <c r="H46" s="558"/>
      <c r="I46" s="134">
        <f>SUM(I47:I47)</f>
        <v>122000</v>
      </c>
      <c r="J46" s="135"/>
      <c r="K46" s="137">
        <f>SUM(K47:K47)</f>
        <v>0</v>
      </c>
      <c r="L46" s="136"/>
      <c r="M46" s="137">
        <f>SUM(M47:M47)</f>
        <v>61000</v>
      </c>
      <c r="N46" s="98"/>
      <c r="O46" s="137">
        <f>SUM(O47:O47)</f>
        <v>61000</v>
      </c>
      <c r="P46" s="563"/>
    </row>
    <row r="47" spans="2:17" ht="161.44999999999999" customHeight="1" thickBot="1" x14ac:dyDescent="0.3">
      <c r="B47" s="660"/>
      <c r="C47" s="671"/>
      <c r="D47" s="671"/>
      <c r="E47" s="671"/>
      <c r="F47" s="671"/>
      <c r="G47" s="8"/>
      <c r="H47" s="558"/>
      <c r="I47" s="118">
        <f t="shared" ref="I47" si="7">SUM(K47+M47+O47)</f>
        <v>122000</v>
      </c>
      <c r="J47" s="116" t="str">
        <f>"(55)"</f>
        <v>(55)</v>
      </c>
      <c r="K47" s="59">
        <f>SUM(K44*1.2)</f>
        <v>0</v>
      </c>
      <c r="L47" s="116" t="str">
        <f>"(55)"</f>
        <v>(55)</v>
      </c>
      <c r="M47" s="59">
        <f>SUM(M44*1.22)</f>
        <v>61000</v>
      </c>
      <c r="N47" s="116" t="str">
        <f>"(55)"</f>
        <v>(55)</v>
      </c>
      <c r="O47" s="59">
        <f>SUM(O44*1.22)</f>
        <v>61000</v>
      </c>
      <c r="P47" s="551" t="str">
        <f>"(55)"</f>
        <v>(55)</v>
      </c>
    </row>
    <row r="48" spans="2:17" ht="17.25" x14ac:dyDescent="0.25">
      <c r="B48" s="658" t="str">
        <f>'kuni 2025 detsember tegevuskava'!A37&amp;"/"&amp;'kuni 2025 detsember tegevuskava'!C37</f>
        <v>ELVL/</v>
      </c>
      <c r="C48" s="669" t="str">
        <f>'kuni 2025 detsember tegevuskava'!I37</f>
        <v>KOVidel puudub võimalus viia õiguspäraselt ja turvaliselt virtuaalsetel koosolekutel hääletusi. Praegune VOLIS on legacy, mis tingib teenuse ebastabiilsuse kasutajakoormuse tõusu korral, kasutusel on vananenud tehnoloogia ja kasutajadisain. Kasutajate rahulolu on madal (5,63)</v>
      </c>
      <c r="D48" s="669" t="str">
        <f>'kuni 2025 detsember tegevuskava'!J37</f>
        <v xml:space="preserve">KOV rahvahääletuste ja koosolekute digilahendus </v>
      </c>
      <c r="E48" s="669" t="str">
        <f>'kuni 2025 detsember tegevuskava'!K37</f>
        <v>2024 - 2022.a valminud VOLIS2 analüüsi ülevaatus ja KOVidega koostöös minimaalsete arendatavate funktsionaalsuste kokkuleppimine -&gt; esmalt MVP arendus ehk minimaalne funktsionaalsus.       Hankedokumentatsiooni koostamine ja hanke läbiviimine arenduspartneri leidmiseks. Arenduse tulemusena valmib esimese etapina 2025. a KOV rahvahääletuste keskkonna (sh kaasavad eelarved) MVP:  kasutajate haldus; hääletussüsteem (sh isikukoodi põhised hääletused ja rahvahääletused); integratsioon rahvastikuregistriga (KOV ja asustusüksuse täpsus). Valminud infosüsteemi saavad KOVid kasutusele võtta teenuslepinguga kuutasu alusel. IS majutatakse pilvelahenduses.</v>
      </c>
      <c r="F48" s="669" t="str">
        <f>'kuni 2025 detsember tegevuskava'!P37&amp;"/"</f>
        <v>SF 21-27 (taotletav raha)/</v>
      </c>
      <c r="G48" s="565" cm="1">
        <f t="array" ref="G48">_xlfn.IFS('kuni 2025 detsember tegevuskava'!G37='kuni 2025 detsember tegevuskava'!$G$97,1,'kuni 2025 detsember tegevuskava'!G37='kuni 2025 detsember tegevuskava'!$G$98,2,'kuni 2025 detsember tegevuskava'!G37='kuni 2025 detsember tegevuskava'!$G$99,3,'kuni 2025 detsember tegevuskava'!G37='kuni 2025 detsember tegevuskava'!$G$100,4)</f>
        <v>1</v>
      </c>
      <c r="H48" s="543" cm="1">
        <f t="array" ref="H48">_xlfn.IFS(OR('kuni 2025 detsember tegevuskava'!P37='kuni 2025 detsember tegevuskava'!$P$97,'kuni 2025 detsember tegevuskava'!P37='kuni 2025 detsember tegevuskava'!$P$99,'kuni 2025 detsember tegevuskava'!P37='kuni 2025 detsember tegevuskava'!$P$100,'kuni 2025 detsember tegevuskava'!P37='kuni 2025 detsember tegevuskava'!$P$101),1,'kuni 2025 detsember tegevuskava'!P37='kuni 2025 detsember tegevuskava'!$P$102,2,'kuni 2025 detsember tegevuskava'!P37='kuni 2025 detsember tegevuskava'!$P$103,2,'kuni 2025 detsember tegevuskava'!P37='kuni 2025 detsember tegevuskava'!$P$98,3)</f>
        <v>2</v>
      </c>
      <c r="I48" s="544">
        <f>SUM(I49:I50)</f>
        <v>334136</v>
      </c>
      <c r="J48" s="545"/>
      <c r="K48" s="546">
        <f>SUM(K49:K50)</f>
        <v>0</v>
      </c>
      <c r="L48" s="547"/>
      <c r="M48" s="548">
        <f>SUM(M49:M50)</f>
        <v>131286</v>
      </c>
      <c r="N48" s="549"/>
      <c r="O48" s="548">
        <f>SUM(O49:O50)</f>
        <v>202850</v>
      </c>
      <c r="P48" s="550"/>
    </row>
    <row r="49" spans="2:16" ht="17.25" x14ac:dyDescent="0.25">
      <c r="B49" s="659"/>
      <c r="C49" s="670"/>
      <c r="D49" s="670"/>
      <c r="E49" s="670"/>
      <c r="F49" s="670"/>
      <c r="G49" s="564"/>
      <c r="H49" s="164"/>
      <c r="I49" s="126">
        <f>SUM(K49+M49+O49)</f>
        <v>270000</v>
      </c>
      <c r="J49" s="116" t="str">
        <f>"(15)"</f>
        <v>(15)</v>
      </c>
      <c r="K49" s="59">
        <f>'kuni 2025 detsember tegevuskava'!X37</f>
        <v>0</v>
      </c>
      <c r="L49" s="117" t="str">
        <f>"(15)"</f>
        <v>(15)</v>
      </c>
      <c r="M49" s="118">
        <f>'kuni 2025 detsember tegevuskava'!AA37</f>
        <v>100000</v>
      </c>
      <c r="N49" s="116" t="str">
        <f>"(15)"</f>
        <v>(15)</v>
      </c>
      <c r="O49" s="59">
        <f>'kuni 2025 detsember tegevuskava'!AD37</f>
        <v>170000</v>
      </c>
      <c r="P49" s="551" t="str">
        <f>"(15)"</f>
        <v>(15)</v>
      </c>
    </row>
    <row r="50" spans="2:16" ht="17.25" x14ac:dyDescent="0.25">
      <c r="B50" s="659"/>
      <c r="C50" s="670"/>
      <c r="D50" s="670"/>
      <c r="E50" s="670"/>
      <c r="F50" s="670"/>
      <c r="G50" s="564"/>
      <c r="H50" s="164"/>
      <c r="I50" s="126">
        <f t="shared" ref="I50" si="8">SUM(K50+M50+O50)</f>
        <v>64136</v>
      </c>
      <c r="J50" s="116" t="str">
        <f>"(50)"</f>
        <v>(50)</v>
      </c>
      <c r="K50" s="61">
        <f>'kuni 2025 detsember tegevuskava'!Y37</f>
        <v>0</v>
      </c>
      <c r="L50" s="540" t="str">
        <f>"(50)"</f>
        <v>(50)</v>
      </c>
      <c r="M50" s="118">
        <f>'kuni 2025 detsember tegevuskava'!AB37</f>
        <v>31286</v>
      </c>
      <c r="N50" s="116" t="str">
        <f>"(50)"</f>
        <v>(50)</v>
      </c>
      <c r="O50" s="59">
        <f>'kuni 2025 detsember tegevuskava'!AE37</f>
        <v>32850</v>
      </c>
      <c r="P50" s="551" t="str">
        <f>"(50)"</f>
        <v>(50)</v>
      </c>
    </row>
    <row r="51" spans="2:16" ht="17.25" x14ac:dyDescent="0.25">
      <c r="B51" s="659"/>
      <c r="C51" s="670"/>
      <c r="D51" s="670"/>
      <c r="E51" s="670"/>
      <c r="F51" s="670"/>
      <c r="G51" s="564"/>
      <c r="H51" s="164"/>
      <c r="I51" s="537" t="s">
        <v>297</v>
      </c>
      <c r="J51" s="538"/>
      <c r="K51" s="541"/>
      <c r="L51" s="541"/>
      <c r="M51" s="538"/>
      <c r="N51" s="538"/>
      <c r="O51" s="538"/>
      <c r="P51" s="552"/>
    </row>
    <row r="52" spans="2:16" ht="17.25" x14ac:dyDescent="0.25">
      <c r="B52" s="659"/>
      <c r="C52" s="670"/>
      <c r="D52" s="670"/>
      <c r="E52" s="670"/>
      <c r="F52" s="670"/>
      <c r="G52" s="564"/>
      <c r="H52" s="164"/>
      <c r="I52" s="127">
        <f>SUM(I53:I54)</f>
        <v>393536</v>
      </c>
      <c r="J52" s="116"/>
      <c r="K52" s="127">
        <f>SUM(K53:K54)</f>
        <v>0</v>
      </c>
      <c r="L52" s="539"/>
      <c r="M52" s="127">
        <f>SUM(M53:M54)</f>
        <v>153286</v>
      </c>
      <c r="O52" s="127">
        <f>SUM(O53:O54)</f>
        <v>240250</v>
      </c>
      <c r="P52" s="553"/>
    </row>
    <row r="53" spans="2:16" ht="17.25" x14ac:dyDescent="0.25">
      <c r="B53" s="659"/>
      <c r="C53" s="670"/>
      <c r="D53" s="670"/>
      <c r="E53" s="670"/>
      <c r="F53" s="670"/>
      <c r="G53" s="564"/>
      <c r="H53" s="164"/>
      <c r="I53" s="126">
        <f>SUM(K53+M53+O53)</f>
        <v>329400</v>
      </c>
      <c r="J53" s="116" t="str">
        <f>"(15)"</f>
        <v>(15)</v>
      </c>
      <c r="K53" s="59">
        <f>SUM(K49*1.2)</f>
        <v>0</v>
      </c>
      <c r="L53" s="116" t="str">
        <f>"(15)"</f>
        <v>(15)</v>
      </c>
      <c r="M53" s="59">
        <f>SUM(M49*1.22)</f>
        <v>122000</v>
      </c>
      <c r="N53" s="116" t="str">
        <f>"(15)"</f>
        <v>(15)</v>
      </c>
      <c r="O53" s="59">
        <f>SUM(O49*1.22)</f>
        <v>207400</v>
      </c>
      <c r="P53" s="551" t="str">
        <f>"(15)"</f>
        <v>(15)</v>
      </c>
    </row>
    <row r="54" spans="2:16" ht="85.5" customHeight="1" thickBot="1" x14ac:dyDescent="0.3">
      <c r="B54" s="660"/>
      <c r="C54" s="671"/>
      <c r="D54" s="671"/>
      <c r="E54" s="671"/>
      <c r="F54" s="671"/>
      <c r="G54" s="564"/>
      <c r="H54" s="164"/>
      <c r="I54" s="126">
        <f t="shared" ref="I54" si="9">SUM(K54+M54+O54)</f>
        <v>64136</v>
      </c>
      <c r="J54" s="116" t="str">
        <f>"(50)"</f>
        <v>(50)</v>
      </c>
      <c r="K54" s="59">
        <f>K50</f>
        <v>0</v>
      </c>
      <c r="L54" s="116" t="str">
        <f>"(50)"</f>
        <v>(50)</v>
      </c>
      <c r="M54" s="59">
        <f>M50</f>
        <v>31286</v>
      </c>
      <c r="N54" s="116" t="str">
        <f>"(50)"</f>
        <v>(50)</v>
      </c>
      <c r="O54" s="59">
        <f>O50</f>
        <v>32850</v>
      </c>
      <c r="P54" s="551" t="str">
        <f>"(50)"</f>
        <v>(50)</v>
      </c>
    </row>
    <row r="55" spans="2:16" ht="17.25" x14ac:dyDescent="0.25">
      <c r="B55" s="661" t="str">
        <f>'kuni 2025 detsember tegevuskava'!A38&amp;"/"&amp;'kuni 2025 detsember tegevuskava'!C38</f>
        <v>ELVL/</v>
      </c>
      <c r="C55" s="664" t="str">
        <f>'kuni 2025 detsember tegevuskava'!I38</f>
        <v>Kohalike omavalitsuste infoturbe võimekus on endiselt madal. KOVid üha rohkem tunnistavad, et pole võimelised seda valdkonda katma. KOVid ei mõista infoturbe olemust ja vajalikkust, seda peetakse tehniliseks mitte organisatoorseks probleemiks. 
ISKE dokumentatsioon on enamikul olemas, kuid seda ei järgita. KOVidel puudub keskselt kasutatav andmebaas, kuhu koguda parimaid praktikaid, juhendmaterjali jms</v>
      </c>
      <c r="D55" s="664" t="str">
        <f>'kuni 2025 detsember tegevuskava'!J38</f>
        <v>Küberturvalisuse tagamise tugi KOVidele</v>
      </c>
      <c r="E55" s="664" t="str">
        <f>'kuni 2025 detsember tegevuskava'!K38</f>
        <v xml:space="preserve">2024 – infoturbe spetsialisti värbamine (osalise tööajaga), taustainfo kogumine ja tööplaani koostamine, ELVLi kui organisatsiooni ja digipöörde tegevuste turbevajaduste kaardistamine; KOVide EITS kasutusprofiili koostamisest tulenevad jätkutegevused.             E-ITS mentorite võrgustiku käivitamine (tugi KOVilt KOVile E-ITS rakendamisel). Lähteülesande koostamine sobiva lahenduse leidmiseks standardlahenduste kogu platvormi loomiseks ja arenduse tellimine. 
2025 -  E-ITS rakendamise toe jätkamine (mentorlus, veebiseminarid koostöös RIAga).  Parimate praktikate, juhendite ja dokumentatsiooni jagamise keskkonna käivitamine (nn KOV ülene siseveeb). Eesmärk on tõsta teadlikkust ja parandada infoturbe juhtimist KOV-ides.  </v>
      </c>
      <c r="F55" s="664" t="str">
        <f>'kuni 2025 detsember tegevuskava'!P38&amp;"/"</f>
        <v>SF 21-27 (taotletav raha)/</v>
      </c>
      <c r="G55" s="571" cm="1">
        <f t="array" ref="G55">_xlfn.IFS('kuni 2025 detsember tegevuskava'!G38='kuni 2025 detsember tegevuskava'!$G$97,1,'kuni 2025 detsember tegevuskava'!G38='kuni 2025 detsember tegevuskava'!$G$98,2,'kuni 2025 detsember tegevuskava'!G38='kuni 2025 detsember tegevuskava'!$G$99,3,'kuni 2025 detsember tegevuskava'!G38='kuni 2025 detsember tegevuskava'!$G$100,4)</f>
        <v>2</v>
      </c>
      <c r="H55" s="166" cm="1">
        <f t="array" ref="H55">_xlfn.IFS(OR('kuni 2025 detsember tegevuskava'!P38='kuni 2025 detsember tegevuskava'!$P$97,'kuni 2025 detsember tegevuskava'!P38='kuni 2025 detsember tegevuskava'!$P$99,'kuni 2025 detsember tegevuskava'!P38='kuni 2025 detsember tegevuskava'!$P$100,'kuni 2025 detsember tegevuskava'!P38='kuni 2025 detsember tegevuskava'!$P$101),1,'kuni 2025 detsember tegevuskava'!P38='kuni 2025 detsember tegevuskava'!$P$102,2,'kuni 2025 detsember tegevuskava'!P38='kuni 2025 detsember tegevuskava'!$P$103,2,'kuni 2025 detsember tegevuskava'!P38='kuni 2025 detsember tegevuskava'!$P$98,3)</f>
        <v>2</v>
      </c>
      <c r="I55" s="572">
        <f>SUM(I56:I57)</f>
        <v>163952</v>
      </c>
      <c r="J55" s="573"/>
      <c r="K55" s="572">
        <f>SUM(K56:K57)</f>
        <v>0</v>
      </c>
      <c r="L55" s="574"/>
      <c r="M55" s="572">
        <f>SUM(M56:M57)</f>
        <v>106976</v>
      </c>
      <c r="N55" s="575"/>
      <c r="O55" s="576">
        <f>SUM(O56:O57)</f>
        <v>56976</v>
      </c>
      <c r="P55" s="577"/>
    </row>
    <row r="56" spans="2:16" ht="17.25" x14ac:dyDescent="0.25">
      <c r="B56" s="662"/>
      <c r="C56" s="665"/>
      <c r="D56" s="665"/>
      <c r="E56" s="665"/>
      <c r="F56" s="665"/>
      <c r="G56" s="569"/>
      <c r="H56" s="164"/>
      <c r="I56" s="126">
        <f t="shared" ref="I56:I57" si="10">SUM(K56+M56+O56)</f>
        <v>113952</v>
      </c>
      <c r="J56" s="116" t="str">
        <f>"(50)"</f>
        <v>(50)</v>
      </c>
      <c r="K56" s="59">
        <f>'kuni 2025 detsember tegevuskava'!Y38</f>
        <v>0</v>
      </c>
      <c r="L56" s="116" t="str">
        <f>"(50)"</f>
        <v>(50)</v>
      </c>
      <c r="M56" s="59">
        <f>'kuni 2025 detsember tegevuskava'!AB38</f>
        <v>56976</v>
      </c>
      <c r="N56" s="116" t="str">
        <f>"(50)"</f>
        <v>(50)</v>
      </c>
      <c r="O56" s="59">
        <f>'kuni 2025 detsember tegevuskava'!AE38</f>
        <v>56976</v>
      </c>
      <c r="P56" s="62" t="str">
        <f>"(50)"</f>
        <v>(50)</v>
      </c>
    </row>
    <row r="57" spans="2:16" ht="17.25" x14ac:dyDescent="0.25">
      <c r="B57" s="662"/>
      <c r="C57" s="665"/>
      <c r="D57" s="665"/>
      <c r="E57" s="665"/>
      <c r="F57" s="665"/>
      <c r="G57" s="569"/>
      <c r="H57" s="164"/>
      <c r="I57" s="126">
        <f t="shared" si="10"/>
        <v>50000</v>
      </c>
      <c r="J57" s="60" t="str">
        <f>"(55)"</f>
        <v>(55)</v>
      </c>
      <c r="K57" s="61">
        <f>'kuni 2025 detsember tegevuskava'!Z38</f>
        <v>0</v>
      </c>
      <c r="L57" s="60" t="str">
        <f>"(55)"</f>
        <v>(55)</v>
      </c>
      <c r="M57" s="61">
        <f>'kuni 2025 detsember tegevuskava'!AC38</f>
        <v>50000</v>
      </c>
      <c r="N57" s="60" t="str">
        <f>"(55)"</f>
        <v>(55)</v>
      </c>
      <c r="O57" s="61">
        <f>'kuni 2025 detsember tegevuskava'!AF38</f>
        <v>0</v>
      </c>
      <c r="P57" s="63" t="str">
        <f>"(55)"</f>
        <v>(55)</v>
      </c>
    </row>
    <row r="58" spans="2:16" ht="17.25" x14ac:dyDescent="0.25">
      <c r="B58" s="662"/>
      <c r="C58" s="665"/>
      <c r="D58" s="665"/>
      <c r="E58" s="665"/>
      <c r="F58" s="665"/>
      <c r="G58" s="569"/>
      <c r="H58" s="164"/>
      <c r="I58" s="158" t="s">
        <v>297</v>
      </c>
      <c r="J58" s="8"/>
      <c r="K58" s="8"/>
      <c r="L58" s="8"/>
      <c r="M58" s="8"/>
      <c r="N58" s="8"/>
      <c r="O58" s="8"/>
      <c r="P58" s="146"/>
    </row>
    <row r="59" spans="2:16" ht="17.25" x14ac:dyDescent="0.25">
      <c r="B59" s="662"/>
      <c r="C59" s="665"/>
      <c r="D59" s="665"/>
      <c r="E59" s="665"/>
      <c r="F59" s="665"/>
      <c r="G59" s="569"/>
      <c r="H59" s="164"/>
      <c r="I59" s="149">
        <f>SUM(I60:I61)</f>
        <v>174952</v>
      </c>
      <c r="J59" s="57"/>
      <c r="K59" s="149">
        <f>SUM(K60:K61)</f>
        <v>0</v>
      </c>
      <c r="L59" s="58"/>
      <c r="M59" s="149">
        <f>SUM(M60:M61)</f>
        <v>117976</v>
      </c>
      <c r="N59" s="98"/>
      <c r="O59" s="149">
        <f>SUM(O60:O61)</f>
        <v>56976</v>
      </c>
      <c r="P59" s="123"/>
    </row>
    <row r="60" spans="2:16" ht="17.25" x14ac:dyDescent="0.25">
      <c r="B60" s="662"/>
      <c r="C60" s="665"/>
      <c r="D60" s="665"/>
      <c r="E60" s="665"/>
      <c r="F60" s="665"/>
      <c r="G60" s="569"/>
      <c r="H60" s="164"/>
      <c r="I60" s="126">
        <f t="shared" ref="I60:I61" si="11">SUM(K60+M60+O60)</f>
        <v>113952</v>
      </c>
      <c r="J60" s="116" t="str">
        <f>"(50)"</f>
        <v>(50)</v>
      </c>
      <c r="K60" s="59">
        <f>K56</f>
        <v>0</v>
      </c>
      <c r="L60" s="116" t="str">
        <f>"(50)"</f>
        <v>(50)</v>
      </c>
      <c r="M60" s="59">
        <f>M56</f>
        <v>56976</v>
      </c>
      <c r="N60" s="116" t="str">
        <f>"(50)"</f>
        <v>(50)</v>
      </c>
      <c r="O60" s="59">
        <f>O56</f>
        <v>56976</v>
      </c>
      <c r="P60" s="62" t="str">
        <f>"(50)"</f>
        <v>(50)</v>
      </c>
    </row>
    <row r="61" spans="2:16" ht="103.35" customHeight="1" thickBot="1" x14ac:dyDescent="0.3">
      <c r="B61" s="663"/>
      <c r="C61" s="668"/>
      <c r="D61" s="668"/>
      <c r="E61" s="668"/>
      <c r="F61" s="668"/>
      <c r="G61" s="569"/>
      <c r="H61" s="164"/>
      <c r="I61" s="126">
        <f t="shared" si="11"/>
        <v>61000</v>
      </c>
      <c r="J61" s="116" t="str">
        <f>"(55)"</f>
        <v>(55)</v>
      </c>
      <c r="K61" s="59">
        <f>SUM(K57*1.2)</f>
        <v>0</v>
      </c>
      <c r="L61" s="116" t="str">
        <f>"(55)"</f>
        <v>(55)</v>
      </c>
      <c r="M61" s="59">
        <f>SUM(M57*1.22)</f>
        <v>61000</v>
      </c>
      <c r="N61" s="116" t="str">
        <f>"(55)"</f>
        <v>(55)</v>
      </c>
      <c r="O61" s="59">
        <f>SUM(O57*1.22)</f>
        <v>0</v>
      </c>
      <c r="P61" s="62" t="str">
        <f>"(55)"</f>
        <v>(55)</v>
      </c>
    </row>
    <row r="62" spans="2:16" ht="17.25" x14ac:dyDescent="0.25">
      <c r="B62" s="661" t="str">
        <f>'kuni 2025 detsember tegevuskava'!A39&amp;"/"&amp;'kuni 2025 detsember tegevuskava'!C39</f>
        <v>ELVL/</v>
      </c>
      <c r="C62" s="664" t="str">
        <f>'kuni 2025 detsember tegevuskava'!I39</f>
        <v>KOVide poolt avaandmete avaldamine on vaevaline. Kuna paljud KOVide poolt kasutatavad infosüsteemid kuuluvad eraettevõtetele peab vajalike liidestuste loomiseks läbi rääkima teenusepakkujaga. RIHAs on mitmed KOVide poolt kasutatavad infosüsteemid registreerimata, vajaliku dokumentatsiooni koostamisega ei saada hakkama.</v>
      </c>
      <c r="D62" s="664" t="str">
        <f>'kuni 2025 detsember tegevuskava'!J39</f>
        <v>Avaandmete avaldamise, andmehalduse ja AI tugi KOVidele</v>
      </c>
      <c r="E62" s="664" t="str">
        <f>'kuni 2025 detsember tegevuskava'!K39</f>
        <v>2024 - värbamine; andmete valdkonna KOV hetkeolukorra kaardistus, sh infosüsteemide ja võimalike andmestike kaardistamine.             2024-2025: Osalemine MKMi-RIA andmete töögruppides, sh TSI projektis ning vajaduspõhiselt vahelüli rolli täitmine omavalitsustega kontakti saamisel. 
Avaandmete avaldamise toe pakkumine KOVidele: avaldatavate andmestike kokkuleppimine, abi andmete ettevalmistamisel ja avaldamisel, automatiseerimise lahenduste analüüs. Andmehalduse raamistiku "tõlkimine" ehk kohandamine KOVide jaoks, sh Rihakese kasutusvõimaluste analüüs. KOV teadlikkuse tõstmine andmete väärtusest ja võimalustest: parimate praktikate otsimine ja jagamine, praktiliste juhendite koostamine. ELVLi poolt Bürokrati piloteerimine KOV üldandmete osas.</v>
      </c>
      <c r="F62" s="664" t="str">
        <f>'kuni 2025 detsember tegevuskava'!P39&amp;"/"</f>
        <v>SF 21-27 (taotletav raha)/</v>
      </c>
      <c r="G62" s="571" cm="1">
        <f t="array" ref="G62">_xlfn.IFS('kuni 2025 detsember tegevuskava'!G39='kuni 2025 detsember tegevuskava'!$G$97,1,'kuni 2025 detsember tegevuskava'!G39='kuni 2025 detsember tegevuskava'!$G$98,2,'kuni 2025 detsember tegevuskava'!G39='kuni 2025 detsember tegevuskava'!$G$99,3,'kuni 2025 detsember tegevuskava'!G39='kuni 2025 detsember tegevuskava'!$G$100,4)</f>
        <v>4</v>
      </c>
      <c r="H62" s="166" cm="1">
        <f t="array" ref="H62">_xlfn.IFS(OR('kuni 2025 detsember tegevuskava'!P39='kuni 2025 detsember tegevuskava'!$P$97,'kuni 2025 detsember tegevuskava'!P39='kuni 2025 detsember tegevuskava'!$P$99,'kuni 2025 detsember tegevuskava'!P39='kuni 2025 detsember tegevuskava'!$P$100,'kuni 2025 detsember tegevuskava'!P39='kuni 2025 detsember tegevuskava'!$P$101),1,'kuni 2025 detsember tegevuskava'!P39='kuni 2025 detsember tegevuskava'!$P$102,2,'kuni 2025 detsember tegevuskava'!P39='kuni 2025 detsember tegevuskava'!$P$103,2,'kuni 2025 detsember tegevuskava'!P39='kuni 2025 detsember tegevuskava'!$P$98,3)</f>
        <v>2</v>
      </c>
      <c r="I62" s="121">
        <f>SUM(I63:I64)</f>
        <v>116133</v>
      </c>
      <c r="J62" s="122"/>
      <c r="K62" s="74">
        <f>SUM(K63:K64)</f>
        <v>0</v>
      </c>
      <c r="L62" s="153"/>
      <c r="M62" s="74">
        <f>SUM(M63:M64)</f>
        <v>42133</v>
      </c>
      <c r="N62" s="77"/>
      <c r="O62" s="74">
        <f>SUM(O63:O64)</f>
        <v>74000</v>
      </c>
      <c r="P62" s="78"/>
    </row>
    <row r="63" spans="2:16" ht="17.25" x14ac:dyDescent="0.25">
      <c r="B63" s="662"/>
      <c r="C63" s="665"/>
      <c r="D63" s="665"/>
      <c r="E63" s="665"/>
      <c r="F63" s="665"/>
      <c r="G63" s="569"/>
      <c r="H63" s="164"/>
      <c r="I63" s="93">
        <f>SUM(K63+M63+O63)</f>
        <v>91133</v>
      </c>
      <c r="J63" s="89" t="str">
        <f>"(50)"</f>
        <v>(50)</v>
      </c>
      <c r="K63" s="79">
        <f>'kuni 2025 detsember tegevuskava'!Y39</f>
        <v>0</v>
      </c>
      <c r="L63" s="89" t="str">
        <f>"(50)"</f>
        <v>(50)</v>
      </c>
      <c r="M63" s="79">
        <f>'kuni 2025 detsember tegevuskava'!AB39</f>
        <v>42133</v>
      </c>
      <c r="N63" s="89" t="str">
        <f>"(50)"</f>
        <v>(50)</v>
      </c>
      <c r="O63" s="79">
        <f>'kuni 2025 detsember tegevuskava'!AE39</f>
        <v>49000</v>
      </c>
      <c r="P63" s="80" t="str">
        <f>"(50)"</f>
        <v>(50)</v>
      </c>
    </row>
    <row r="64" spans="2:16" ht="17.25" x14ac:dyDescent="0.25">
      <c r="B64" s="662"/>
      <c r="C64" s="665"/>
      <c r="D64" s="665"/>
      <c r="E64" s="665"/>
      <c r="F64" s="665"/>
      <c r="G64" s="569"/>
      <c r="H64" s="164"/>
      <c r="I64" s="93">
        <f>SUM(K64+M64+O64)</f>
        <v>25000</v>
      </c>
      <c r="J64" s="81" t="str">
        <f>"(55)"</f>
        <v>(55)</v>
      </c>
      <c r="K64" s="82">
        <f>'kuni 2025 detsember tegevuskava'!Z39</f>
        <v>0</v>
      </c>
      <c r="L64" s="81" t="str">
        <f>"(55)"</f>
        <v>(55)</v>
      </c>
      <c r="M64" s="82">
        <f>'kuni 2025 detsember tegevuskava'!AC39</f>
        <v>0</v>
      </c>
      <c r="N64" s="81" t="str">
        <f>"(55)"</f>
        <v>(55)</v>
      </c>
      <c r="O64" s="82">
        <f>'kuni 2025 detsember tegevuskava'!AF39</f>
        <v>25000</v>
      </c>
      <c r="P64" s="83" t="str">
        <f>"(55)"</f>
        <v>(55)</v>
      </c>
    </row>
    <row r="65" spans="2:16" ht="17.25" x14ac:dyDescent="0.25">
      <c r="B65" s="662"/>
      <c r="C65" s="665"/>
      <c r="D65" s="665"/>
      <c r="E65" s="665"/>
      <c r="F65" s="665"/>
      <c r="G65" s="569"/>
      <c r="H65" s="164"/>
      <c r="I65" s="158" t="s">
        <v>297</v>
      </c>
      <c r="J65" s="8"/>
      <c r="K65" s="8"/>
      <c r="L65" s="8"/>
      <c r="M65" s="8"/>
      <c r="N65" s="8"/>
      <c r="O65" s="8"/>
      <c r="P65" s="146"/>
    </row>
    <row r="66" spans="2:16" ht="17.25" x14ac:dyDescent="0.25">
      <c r="B66" s="662"/>
      <c r="C66" s="665"/>
      <c r="D66" s="665"/>
      <c r="E66" s="665"/>
      <c r="F66" s="665"/>
      <c r="G66" s="569"/>
      <c r="H66" s="164"/>
      <c r="I66" s="151">
        <f>SUM(I67:I68)</f>
        <v>121633</v>
      </c>
      <c r="J66" s="152"/>
      <c r="K66" s="84">
        <f>SUM(K67:K68)</f>
        <v>0</v>
      </c>
      <c r="L66" s="154"/>
      <c r="M66" s="84">
        <f>SUM(M67:M68)</f>
        <v>42133</v>
      </c>
      <c r="N66" s="98"/>
      <c r="O66" s="151">
        <f>SUM(O67:O68)</f>
        <v>79500</v>
      </c>
      <c r="P66" s="123"/>
    </row>
    <row r="67" spans="2:16" ht="17.25" x14ac:dyDescent="0.25">
      <c r="B67" s="662"/>
      <c r="C67" s="665"/>
      <c r="D67" s="665"/>
      <c r="E67" s="665"/>
      <c r="F67" s="665"/>
      <c r="G67" s="569"/>
      <c r="H67" s="164"/>
      <c r="I67" s="93">
        <f>SUM(K67+M67+O67)</f>
        <v>91133</v>
      </c>
      <c r="J67" s="89" t="str">
        <f>"(50)"</f>
        <v>(50)</v>
      </c>
      <c r="K67" s="79">
        <f>K63</f>
        <v>0</v>
      </c>
      <c r="L67" s="89" t="str">
        <f>"(50)"</f>
        <v>(50)</v>
      </c>
      <c r="M67" s="79">
        <f>M63</f>
        <v>42133</v>
      </c>
      <c r="N67" s="89" t="str">
        <f>"(50)"</f>
        <v>(50)</v>
      </c>
      <c r="O67" s="79">
        <f>O63</f>
        <v>49000</v>
      </c>
      <c r="P67" s="80" t="str">
        <f>"(50)"</f>
        <v>(50)</v>
      </c>
    </row>
    <row r="68" spans="2:16" ht="116.1" customHeight="1" thickBot="1" x14ac:dyDescent="0.3">
      <c r="B68" s="663"/>
      <c r="C68" s="668"/>
      <c r="D68" s="668"/>
      <c r="E68" s="668"/>
      <c r="F68" s="668"/>
      <c r="G68" s="569"/>
      <c r="H68" s="164"/>
      <c r="I68" s="93">
        <f>SUM(K68+M68+O68)</f>
        <v>30500</v>
      </c>
      <c r="J68" s="89" t="str">
        <f>"(55)"</f>
        <v>(55)</v>
      </c>
      <c r="K68" s="79">
        <f>SUM(K64*1.2)</f>
        <v>0</v>
      </c>
      <c r="L68" s="89" t="str">
        <f>"(55)"</f>
        <v>(55)</v>
      </c>
      <c r="M68" s="79">
        <f>SUM(M64*1.22)</f>
        <v>0</v>
      </c>
      <c r="N68" s="89" t="str">
        <f>"(55)"</f>
        <v>(55)</v>
      </c>
      <c r="O68" s="79">
        <f>SUM(O64*1.22)</f>
        <v>30500</v>
      </c>
      <c r="P68" s="80" t="str">
        <f>"(55)"</f>
        <v>(55)</v>
      </c>
    </row>
    <row r="69" spans="2:16" ht="17.25" x14ac:dyDescent="0.25">
      <c r="B69" s="661" t="str">
        <f>'kuni 2025 detsember tegevuskava'!A40&amp;"/"&amp;'kuni 2025 detsember tegevuskava'!C40</f>
        <v>ELVL/</v>
      </c>
      <c r="C69" s="664" t="str">
        <f>'kuni 2025 detsember tegevuskava'!I40</f>
        <v xml:space="preserve">KOVide koostöö IT valdkonnas on mõnevõrra paranenud ELVL koordineerimisel. Digipöörde käigus saavad osad suunad kaetud, kuid vajalik on hoida ka laiemat vaadet KOV IT juhtimisele ja rollidele. </v>
      </c>
      <c r="D69" s="664" t="str">
        <f>'kuni 2025 detsember tegevuskava'!J40</f>
        <v>KOV digivaldkonna kogukonna tugevdamine</v>
      </c>
      <c r="E69" s="664" t="str">
        <f>'kuni 2025 detsember tegevuskava'!K40</f>
        <v>KOV IT võrgustiku regulaarsed virtuaalsed  lühiseminarid. Sügisel kahepäevase seminari korraldamine. KOV IT juhtimise parimate praktikate jagamise töötoad-kogemuslood (nt IT teenuste korraldus KOVis, võimalused tugiteenuste konsolideerimiseks KOVis, teenustega seotud tarkvarade võrdlus, IT juhtimise mudelid jms). Lisaks eraldi töötoad digipöörde suundade osas (andmed, küber, teenused)                                                           Tulemus: KOVid on teadlikumad üksteise parimatest praktikatest, suurenenud on omavaheline koostöö. Suurenenud teadlikkus riigipoolsetest kesksetest lahendustest jne.</v>
      </c>
      <c r="F69" s="664" t="str">
        <f>'kuni 2025 detsember tegevuskava'!P40&amp;"/"</f>
        <v>SF 21-27 (taotletav raha)/</v>
      </c>
      <c r="G69" s="571" cm="1">
        <f t="array" ref="G69">_xlfn.IFS('kuni 2025 detsember tegevuskava'!G40='kuni 2025 detsember tegevuskava'!$G$97,1,'kuni 2025 detsember tegevuskava'!G40='kuni 2025 detsember tegevuskava'!$G$98,2,'kuni 2025 detsember tegevuskava'!G40='kuni 2025 detsember tegevuskava'!$G$99,3,'kuni 2025 detsember tegevuskava'!G40='kuni 2025 detsember tegevuskava'!$G$100,4)</f>
        <v>3</v>
      </c>
      <c r="H69" s="166" cm="1">
        <f t="array" ref="H69">_xlfn.IFS(OR('kuni 2025 detsember tegevuskava'!P40='kuni 2025 detsember tegevuskava'!$P$97,'kuni 2025 detsember tegevuskava'!P40='kuni 2025 detsember tegevuskava'!$P$99,'kuni 2025 detsember tegevuskava'!P40='kuni 2025 detsember tegevuskava'!$P$100,'kuni 2025 detsember tegevuskava'!P40='kuni 2025 detsember tegevuskava'!$P$101),1,'kuni 2025 detsember tegevuskava'!P40='kuni 2025 detsember tegevuskava'!$P$102,2,'kuni 2025 detsember tegevuskava'!P40='kuni 2025 detsember tegevuskava'!$P$103,2,'kuni 2025 detsember tegevuskava'!P40='kuni 2025 detsember tegevuskava'!$P$98,3)</f>
        <v>2</v>
      </c>
      <c r="I69" s="121">
        <f>SUM(I70:I70)</f>
        <v>24000</v>
      </c>
      <c r="J69" s="75"/>
      <c r="K69" s="121">
        <f>SUM(K70:K70)</f>
        <v>0</v>
      </c>
      <c r="L69" s="76"/>
      <c r="M69" s="121">
        <f>SUM(M70:M70)</f>
        <v>12000</v>
      </c>
      <c r="N69" s="77"/>
      <c r="O69" s="74">
        <f>SUM(O70:O70)</f>
        <v>12000</v>
      </c>
      <c r="P69" s="78"/>
    </row>
    <row r="70" spans="2:16" ht="17.25" x14ac:dyDescent="0.25">
      <c r="B70" s="662"/>
      <c r="C70" s="665"/>
      <c r="D70" s="665"/>
      <c r="E70" s="665"/>
      <c r="F70" s="665"/>
      <c r="G70" s="569"/>
      <c r="H70" s="164"/>
      <c r="I70" s="93">
        <f>SUM(K70+M70+O70)</f>
        <v>24000</v>
      </c>
      <c r="J70" s="81" t="str">
        <f>"(55)"</f>
        <v>(55)</v>
      </c>
      <c r="K70" s="82">
        <f>'kuni 2025 detsember tegevuskava'!Z40</f>
        <v>0</v>
      </c>
      <c r="L70" s="81" t="str">
        <f>"(55)"</f>
        <v>(55)</v>
      </c>
      <c r="M70" s="82">
        <f>'kuni 2025 detsember tegevuskava'!AC40</f>
        <v>12000</v>
      </c>
      <c r="N70" s="81" t="str">
        <f>"(55)"</f>
        <v>(55)</v>
      </c>
      <c r="O70" s="82">
        <f>'kuni 2025 detsember tegevuskava'!AF40</f>
        <v>12000</v>
      </c>
      <c r="P70" s="83" t="str">
        <f>"(55)"</f>
        <v>(55)</v>
      </c>
    </row>
    <row r="71" spans="2:16" ht="17.25" x14ac:dyDescent="0.25">
      <c r="B71" s="662"/>
      <c r="C71" s="665"/>
      <c r="D71" s="665"/>
      <c r="E71" s="665"/>
      <c r="F71" s="665"/>
      <c r="G71" s="569"/>
      <c r="H71" s="164"/>
      <c r="I71" s="159" t="s">
        <v>297</v>
      </c>
      <c r="J71" s="8"/>
      <c r="K71" s="8"/>
      <c r="L71" s="8"/>
      <c r="M71" s="8"/>
      <c r="N71" s="8"/>
      <c r="O71" s="8"/>
      <c r="P71" s="146"/>
    </row>
    <row r="72" spans="2:16" ht="17.25" x14ac:dyDescent="0.25">
      <c r="B72" s="662"/>
      <c r="C72" s="665"/>
      <c r="D72" s="665"/>
      <c r="E72" s="665"/>
      <c r="F72" s="665"/>
      <c r="G72" s="569"/>
      <c r="H72" s="164"/>
      <c r="I72" s="157">
        <f>SUM(I73:I73)</f>
        <v>29280</v>
      </c>
      <c r="J72" s="152"/>
      <c r="K72" s="84">
        <f>SUM(K73:K73)</f>
        <v>0</v>
      </c>
      <c r="L72" s="85"/>
      <c r="M72" s="151">
        <f>SUM(M73:M73)</f>
        <v>14640</v>
      </c>
      <c r="N72" s="98"/>
      <c r="O72" s="151">
        <f>SUM(O73:O73)</f>
        <v>14640</v>
      </c>
      <c r="P72" s="123"/>
    </row>
    <row r="73" spans="2:16" ht="91.7" customHeight="1" thickBot="1" x14ac:dyDescent="0.3">
      <c r="B73" s="663"/>
      <c r="C73" s="668"/>
      <c r="D73" s="668"/>
      <c r="E73" s="668"/>
      <c r="F73" s="668"/>
      <c r="G73" s="569"/>
      <c r="H73" s="164"/>
      <c r="I73" s="93">
        <f>SUM(K73+M73+O73)</f>
        <v>29280</v>
      </c>
      <c r="J73" s="89" t="str">
        <f>"(55)"</f>
        <v>(55)</v>
      </c>
      <c r="K73" s="79">
        <f>SUM(K70*1.2)</f>
        <v>0</v>
      </c>
      <c r="L73" s="89" t="str">
        <f>"(55)"</f>
        <v>(55)</v>
      </c>
      <c r="M73" s="79">
        <f>SUM(M70*1.22)</f>
        <v>14640</v>
      </c>
      <c r="N73" s="89" t="str">
        <f>"(55)"</f>
        <v>(55)</v>
      </c>
      <c r="O73" s="79">
        <f>SUM(O70*1.22)</f>
        <v>14640</v>
      </c>
      <c r="P73" s="80" t="str">
        <f>"(55)"</f>
        <v>(55)</v>
      </c>
    </row>
    <row r="74" spans="2:16" ht="17.25" x14ac:dyDescent="0.25">
      <c r="B74" s="661" t="str">
        <f>'kuni 2025 detsember tegevuskava'!A41&amp;"/"&amp;'kuni 2025 detsember tegevuskava'!C41</f>
        <v>ELVL/</v>
      </c>
      <c r="C74" s="664" t="str">
        <f>'kuni 2025 detsember tegevuskava'!I41</f>
        <v>ELVL IKT KK on tegutsenud  ca 5 aastat, kuid üksuse võimekus on endiselt piiratud. Seni on rohkem keskendutud KOVide kesksete platvormide jätkusuutlikkuse tagamisele ja üldisele koordineerimisele ning KOV teenuste vaade on jäänud tahaplaanile.</v>
      </c>
      <c r="D74" s="664" t="str">
        <f>'kuni 2025 detsember tegevuskava'!J41</f>
        <v>ELVL IKT Kompetentsikeskuse baasrahastus</v>
      </c>
      <c r="E74" s="664" t="str">
        <f>'kuni 2025 detsember tegevuskava'!K41</f>
        <v>Pidevad tegevused: KOV IT juhtide võrgustiku koordineerimine ja infovahetus, KOVide nõustamine; KOV kesksete lahenduste tootejuhtimine (Anna Teada, Omavalitsuste portaal, VOLIS); Valdkonna õigusaktide kooskõlastamine; digivaldkonna arengudokumentide-tegevuskavade koostamises osalemine ja KOV huvide esindamine.</v>
      </c>
      <c r="F74" s="664" t="str">
        <f>'kuni 2025 detsember tegevuskava'!P41&amp;"/"</f>
        <v>Baaseelarve/</v>
      </c>
      <c r="G74" s="571" cm="1">
        <f t="array" ref="G74">_xlfn.IFS('kuni 2025 detsember tegevuskava'!G41='kuni 2025 detsember tegevuskava'!$G$97,1,'kuni 2025 detsember tegevuskava'!G41='kuni 2025 detsember tegevuskava'!$G$98,2,'kuni 2025 detsember tegevuskava'!G41='kuni 2025 detsember tegevuskava'!$G$99,3,'kuni 2025 detsember tegevuskava'!G41='kuni 2025 detsember tegevuskava'!$G$100,4)</f>
        <v>4</v>
      </c>
      <c r="H74" s="166" cm="1">
        <f t="array" ref="H74">_xlfn.IFS(OR('kuni 2025 detsember tegevuskava'!P41='kuni 2025 detsember tegevuskava'!$P$97,'kuni 2025 detsember tegevuskava'!P41='kuni 2025 detsember tegevuskava'!$P$99,'kuni 2025 detsember tegevuskava'!P41='kuni 2025 detsember tegevuskava'!$P$100,'kuni 2025 detsember tegevuskava'!P41='kuni 2025 detsember tegevuskava'!$P$101),1,'kuni 2025 detsember tegevuskava'!P41='kuni 2025 detsember tegevuskava'!$P$102,2,'kuni 2025 detsember tegevuskava'!P41='kuni 2025 detsember tegevuskava'!$P$103,2,'kuni 2025 detsember tegevuskava'!P41='kuni 2025 detsember tegevuskava'!$P$98,3)</f>
        <v>1</v>
      </c>
      <c r="I74" s="121">
        <f>SUM(I75:I76)</f>
        <v>274000</v>
      </c>
      <c r="J74" s="75"/>
      <c r="K74" s="121">
        <f>SUM(K75:K76)</f>
        <v>150000</v>
      </c>
      <c r="L74" s="76"/>
      <c r="M74" s="121">
        <f>SUM(M75:M76)</f>
        <v>62000</v>
      </c>
      <c r="N74" s="77"/>
      <c r="O74" s="74">
        <f>SUM(O75:O76)</f>
        <v>62000</v>
      </c>
      <c r="P74" s="78"/>
    </row>
    <row r="75" spans="2:16" ht="17.25" x14ac:dyDescent="0.25">
      <c r="B75" s="662"/>
      <c r="C75" s="665"/>
      <c r="D75" s="665"/>
      <c r="E75" s="665"/>
      <c r="F75" s="665"/>
      <c r="G75" s="569"/>
      <c r="H75" s="164"/>
      <c r="I75" s="93">
        <f>SUM(K75+M75+O75)</f>
        <v>244000</v>
      </c>
      <c r="J75" s="89" t="str">
        <f>"(50)"</f>
        <v>(50)</v>
      </c>
      <c r="K75" s="79">
        <f>'kuni 2025 detsember tegevuskava'!Y41</f>
        <v>140000</v>
      </c>
      <c r="L75" s="89" t="str">
        <f>"(50)"</f>
        <v>(50)</v>
      </c>
      <c r="M75" s="79">
        <f>'kuni 2025 detsember tegevuskava'!AB41</f>
        <v>52000</v>
      </c>
      <c r="N75" s="89" t="str">
        <f>"(50)"</f>
        <v>(50)</v>
      </c>
      <c r="O75" s="79">
        <f>'kuni 2025 detsember tegevuskava'!AE41</f>
        <v>52000</v>
      </c>
      <c r="P75" s="80" t="str">
        <f>"(50)"</f>
        <v>(50)</v>
      </c>
    </row>
    <row r="76" spans="2:16" ht="17.25" x14ac:dyDescent="0.25">
      <c r="B76" s="662"/>
      <c r="C76" s="665"/>
      <c r="D76" s="665"/>
      <c r="E76" s="665"/>
      <c r="F76" s="665"/>
      <c r="G76" s="569"/>
      <c r="H76" s="164"/>
      <c r="I76" s="95">
        <f>SUM(K76+M76+O76)</f>
        <v>30000</v>
      </c>
      <c r="J76" s="81" t="str">
        <f>"(55)"</f>
        <v>(55)</v>
      </c>
      <c r="K76" s="82">
        <f>'kuni 2025 detsember tegevuskava'!Z41</f>
        <v>10000</v>
      </c>
      <c r="L76" s="81" t="str">
        <f>"(55)"</f>
        <v>(55)</v>
      </c>
      <c r="M76" s="82">
        <f>'kuni 2025 detsember tegevuskava'!AC41</f>
        <v>10000</v>
      </c>
      <c r="N76" s="81" t="str">
        <f>"(55)"</f>
        <v>(55)</v>
      </c>
      <c r="O76" s="82">
        <f>'kuni 2025 detsember tegevuskava'!AF41</f>
        <v>10000</v>
      </c>
      <c r="P76" s="83" t="str">
        <f>"(55)"</f>
        <v>(55)</v>
      </c>
    </row>
    <row r="77" spans="2:16" ht="17.25" x14ac:dyDescent="0.25">
      <c r="B77" s="662"/>
      <c r="C77" s="665"/>
      <c r="D77" s="665"/>
      <c r="E77" s="665"/>
      <c r="F77" s="665"/>
      <c r="G77" s="569"/>
      <c r="H77" s="164"/>
      <c r="I77" s="139" t="s">
        <v>297</v>
      </c>
      <c r="J77" s="8"/>
      <c r="K77" s="8"/>
      <c r="L77" s="8"/>
      <c r="M77" s="8"/>
      <c r="N77" s="8"/>
      <c r="O77" s="8"/>
      <c r="P77" s="146"/>
    </row>
    <row r="78" spans="2:16" ht="17.25" x14ac:dyDescent="0.25">
      <c r="B78" s="662"/>
      <c r="C78" s="665"/>
      <c r="D78" s="665"/>
      <c r="E78" s="665"/>
      <c r="F78" s="665"/>
      <c r="G78" s="569"/>
      <c r="H78" s="164"/>
      <c r="I78" s="157">
        <f>SUM(I79:I80)</f>
        <v>280400</v>
      </c>
      <c r="J78" s="99"/>
      <c r="K78" s="91">
        <f>SUM(K79:K80)</f>
        <v>152000</v>
      </c>
      <c r="L78" s="100"/>
      <c r="M78" s="84">
        <f>SUM(M79:M80)</f>
        <v>64200</v>
      </c>
      <c r="N78" s="98"/>
      <c r="O78" s="151">
        <f>SUM(O79:O80)</f>
        <v>64200</v>
      </c>
      <c r="P78" s="123"/>
    </row>
    <row r="79" spans="2:16" ht="17.25" x14ac:dyDescent="0.25">
      <c r="B79" s="662"/>
      <c r="C79" s="665"/>
      <c r="D79" s="665"/>
      <c r="E79" s="665"/>
      <c r="F79" s="665"/>
      <c r="G79" s="569"/>
      <c r="H79" s="164"/>
      <c r="I79" s="93">
        <f>SUM(K79+M79+O79)</f>
        <v>244000</v>
      </c>
      <c r="J79" s="89" t="str">
        <f>"(50)"</f>
        <v>(50)</v>
      </c>
      <c r="K79" s="93">
        <f>K75</f>
        <v>140000</v>
      </c>
      <c r="L79" s="94" t="str">
        <f>"(50)"</f>
        <v>(50)</v>
      </c>
      <c r="M79" s="579">
        <f>M75</f>
        <v>52000</v>
      </c>
      <c r="N79" s="89" t="str">
        <f>"(50)"</f>
        <v>(50)</v>
      </c>
      <c r="O79" s="79">
        <f>O75</f>
        <v>52000</v>
      </c>
      <c r="P79" s="80" t="str">
        <f>"(50)"</f>
        <v>(50)</v>
      </c>
    </row>
    <row r="80" spans="2:16" ht="18" customHeight="1" thickBot="1" x14ac:dyDescent="0.3">
      <c r="B80" s="663"/>
      <c r="C80" s="668"/>
      <c r="D80" s="668"/>
      <c r="E80" s="668"/>
      <c r="F80" s="668"/>
      <c r="G80" s="569"/>
      <c r="H80" s="164"/>
      <c r="I80" s="93">
        <f>SUM(K80+M80+O80)</f>
        <v>36400</v>
      </c>
      <c r="J80" s="89" t="str">
        <f>"(55)"</f>
        <v>(55)</v>
      </c>
      <c r="K80" s="93">
        <f>SUM(K76*1.2)</f>
        <v>12000</v>
      </c>
      <c r="L80" s="94" t="str">
        <f>"(55)"</f>
        <v>(55)</v>
      </c>
      <c r="M80" s="579">
        <f>SUM(M76*1.22)</f>
        <v>12200</v>
      </c>
      <c r="N80" s="89" t="str">
        <f>"(55)"</f>
        <v>(55)</v>
      </c>
      <c r="O80" s="79">
        <f>SUM(O76*1.22)</f>
        <v>12200</v>
      </c>
      <c r="P80" s="80" t="str">
        <f>"(55)"</f>
        <v>(55)</v>
      </c>
    </row>
    <row r="81" spans="2:16" ht="17.25" x14ac:dyDescent="0.25">
      <c r="B81" s="661" t="str">
        <f>'kuni 2025 detsember tegevuskava'!A42&amp;"/"&amp;'kuni 2025 detsember tegevuskava'!C42</f>
        <v>ELVL/</v>
      </c>
      <c r="C81" s="664" t="str">
        <f>'kuni 2025 detsember tegevuskava'!I42</f>
        <v>Kohalike omavalitsuste IKT taristu seis on aegunud. Serverite tarkvara ning riistvara on amortiseerunud. Võrgu ülesehitus on tehtud süsteemitult ning kohati on laiendamine  problemaatiline. Serverite hoiustamine ei vasta infoturbe nõuetele.</v>
      </c>
      <c r="D81" s="664" t="str">
        <f>'kuni 2025 detsember tegevuskava'!J42</f>
        <v>IKT taristu Riigipilve majutamine soodustingimustel KOVidele</v>
      </c>
      <c r="E81" s="664" t="str">
        <f>'kuni 2025 detsember tegevuskava'!K42</f>
        <v xml:space="preserve">Vahetame välja KOV on-premise legacy serverid tänapäevaste pilvelahenduste vastu
Riigipilve on kolinud osaliselt või täielikult  60% KOV-idest ning loobunud enda lokaalsetest serveritest. Tagatud tõhusam riistavara kasutus ning serverite tänapäevasem haldus.                                                       </v>
      </c>
      <c r="F81" s="664" t="str">
        <f>'kuni 2025 detsember tegevuskava'!P42&amp;"/"</f>
        <v>RES IKT (vaja juurde taotleda)/</v>
      </c>
      <c r="G81" s="571" cm="1">
        <f t="array" ref="G81">_xlfn.IFS('kuni 2025 detsember tegevuskava'!G42='kuni 2025 detsember tegevuskava'!$G$97,1,'kuni 2025 detsember tegevuskava'!G42='kuni 2025 detsember tegevuskava'!$G$98,2,'kuni 2025 detsember tegevuskava'!G42='kuni 2025 detsember tegevuskava'!$G$99,3,'kuni 2025 detsember tegevuskava'!G42='kuni 2025 detsember tegevuskava'!$G$100,4)</f>
        <v>2</v>
      </c>
      <c r="H81" s="166" cm="1">
        <f t="array" ref="H81">_xlfn.IFS(OR('kuni 2025 detsember tegevuskava'!P42='kuni 2025 detsember tegevuskava'!$P$97,'kuni 2025 detsember tegevuskava'!P42='kuni 2025 detsember tegevuskava'!$P$99,'kuni 2025 detsember tegevuskava'!P42='kuni 2025 detsember tegevuskava'!$P$100,'kuni 2025 detsember tegevuskava'!P42='kuni 2025 detsember tegevuskava'!$P$101),1,'kuni 2025 detsember tegevuskava'!P42='kuni 2025 detsember tegevuskava'!$P$102,2,'kuni 2025 detsember tegevuskava'!P42='kuni 2025 detsember tegevuskava'!$P$103,2,'kuni 2025 detsember tegevuskava'!P42='kuni 2025 detsember tegevuskava'!$P$98,3)</f>
        <v>1</v>
      </c>
      <c r="I81" s="121">
        <f>SUM(I82:I84)</f>
        <v>545500</v>
      </c>
      <c r="J81" s="122"/>
      <c r="K81" s="74">
        <f>SUM(K82:K84)</f>
        <v>0</v>
      </c>
      <c r="L81" s="76"/>
      <c r="M81" s="121">
        <f>SUM(M82:M84)</f>
        <v>0</v>
      </c>
      <c r="N81" s="122"/>
      <c r="O81" s="74">
        <f>SUM(O82:O84)</f>
        <v>545500</v>
      </c>
      <c r="P81" s="78"/>
    </row>
    <row r="82" spans="2:16" ht="17.25" x14ac:dyDescent="0.25">
      <c r="B82" s="662"/>
      <c r="C82" s="665"/>
      <c r="D82" s="665"/>
      <c r="E82" s="665"/>
      <c r="F82" s="665"/>
      <c r="G82" s="569"/>
      <c r="H82" s="164"/>
      <c r="I82" s="93">
        <f>SUM(K82+M82+O82)</f>
        <v>395500</v>
      </c>
      <c r="J82" s="94" t="str">
        <f>"(15)"</f>
        <v>(15)</v>
      </c>
      <c r="K82" s="579">
        <f>'kuni 2025 detsember tegevuskava'!X42</f>
        <v>0</v>
      </c>
      <c r="L82" s="89" t="str">
        <f>"(15)"</f>
        <v>(15)</v>
      </c>
      <c r="M82" s="93">
        <f>'kuni 2025 detsember tegevuskava'!AA42</f>
        <v>0</v>
      </c>
      <c r="N82" s="94" t="str">
        <f>"(15)"</f>
        <v>(15)</v>
      </c>
      <c r="O82" s="579">
        <f>'kuni 2025 detsember tegevuskava'!AD42</f>
        <v>395500</v>
      </c>
      <c r="P82" s="80" t="str">
        <f>"(15)"</f>
        <v>(15)</v>
      </c>
    </row>
    <row r="83" spans="2:16" ht="17.25" x14ac:dyDescent="0.25">
      <c r="B83" s="662"/>
      <c r="C83" s="665"/>
      <c r="D83" s="665"/>
      <c r="E83" s="665"/>
      <c r="F83" s="665"/>
      <c r="G83" s="569"/>
      <c r="H83" s="164"/>
      <c r="I83" s="93">
        <f>SUM(K83+M83+O83)</f>
        <v>50000</v>
      </c>
      <c r="J83" s="94" t="str">
        <f>"(50)"</f>
        <v>(50)</v>
      </c>
      <c r="K83" s="579">
        <f>'kuni 2025 detsember tegevuskava'!Y42</f>
        <v>0</v>
      </c>
      <c r="L83" s="89" t="str">
        <f>"(50)"</f>
        <v>(50)</v>
      </c>
      <c r="M83" s="93">
        <f>'kuni 2025 detsember tegevuskava'!AB42</f>
        <v>0</v>
      </c>
      <c r="N83" s="94" t="str">
        <f>"(50)"</f>
        <v>(50)</v>
      </c>
      <c r="O83" s="579">
        <f>'kuni 2025 detsember tegevuskava'!AE42</f>
        <v>50000</v>
      </c>
      <c r="P83" s="80" t="str">
        <f>"(50)"</f>
        <v>(50)</v>
      </c>
    </row>
    <row r="84" spans="2:16" ht="17.25" x14ac:dyDescent="0.25">
      <c r="B84" s="662"/>
      <c r="C84" s="665"/>
      <c r="D84" s="665"/>
      <c r="E84" s="665"/>
      <c r="F84" s="665"/>
      <c r="G84" s="569"/>
      <c r="H84" s="164"/>
      <c r="I84" s="95">
        <f>SUM(K84+M84+O84)</f>
        <v>100000</v>
      </c>
      <c r="J84" s="96" t="str">
        <f>"(55)"</f>
        <v>(55)</v>
      </c>
      <c r="K84" s="90">
        <f>'kuni 2025 detsember tegevuskava'!Z42</f>
        <v>0</v>
      </c>
      <c r="L84" s="81" t="str">
        <f>"(55)"</f>
        <v>(55)</v>
      </c>
      <c r="M84" s="95">
        <f>'kuni 2025 detsember tegevuskava'!AC42</f>
        <v>0</v>
      </c>
      <c r="N84" s="96" t="str">
        <f>"(55)"</f>
        <v>(55)</v>
      </c>
      <c r="O84" s="90">
        <f>'kuni 2025 detsember tegevuskava'!AF42</f>
        <v>100000</v>
      </c>
      <c r="P84" s="83" t="str">
        <f>"(55)"</f>
        <v>(55)</v>
      </c>
    </row>
    <row r="85" spans="2:16" ht="17.25" x14ac:dyDescent="0.25">
      <c r="B85" s="662"/>
      <c r="C85" s="665"/>
      <c r="D85" s="665"/>
      <c r="E85" s="665"/>
      <c r="F85" s="665"/>
      <c r="G85" s="569"/>
      <c r="H85" s="164"/>
      <c r="I85" s="125" t="s">
        <v>297</v>
      </c>
      <c r="J85" s="8"/>
      <c r="K85" s="8"/>
      <c r="L85" s="8"/>
      <c r="M85" s="8"/>
      <c r="N85" s="8"/>
      <c r="O85" s="8"/>
      <c r="P85" s="146"/>
    </row>
    <row r="86" spans="2:16" ht="17.25" x14ac:dyDescent="0.25">
      <c r="B86" s="662"/>
      <c r="C86" s="665"/>
      <c r="D86" s="665"/>
      <c r="E86" s="665"/>
      <c r="F86" s="665"/>
      <c r="G86" s="569"/>
      <c r="H86" s="164"/>
      <c r="I86" s="91">
        <f>SUM(I87:I89)</f>
        <v>654510</v>
      </c>
      <c r="J86" s="92"/>
      <c r="K86" s="84">
        <f>SUM(K87:K89)</f>
        <v>0</v>
      </c>
      <c r="L86" s="85"/>
      <c r="M86" s="91">
        <f>SUM(M87:M89)</f>
        <v>0</v>
      </c>
      <c r="N86" s="98"/>
      <c r="O86" s="91">
        <f>SUM(O87:O89)</f>
        <v>654510</v>
      </c>
      <c r="P86" s="123"/>
    </row>
    <row r="87" spans="2:16" ht="17.25" x14ac:dyDescent="0.25">
      <c r="B87" s="662"/>
      <c r="C87" s="665"/>
      <c r="D87" s="665"/>
      <c r="E87" s="665"/>
      <c r="F87" s="665"/>
      <c r="G87" s="569"/>
      <c r="H87" s="164"/>
      <c r="I87" s="93">
        <f>SUM(K87+M87+O87)</f>
        <v>482510</v>
      </c>
      <c r="J87" s="94" t="str">
        <f>"(15)"</f>
        <v>(15)</v>
      </c>
      <c r="K87" s="579">
        <f>SUM(K82*1.2)</f>
        <v>0</v>
      </c>
      <c r="L87" s="89" t="str">
        <f>"(15)"</f>
        <v>(15)</v>
      </c>
      <c r="M87" s="93">
        <f>SUM(M82*1.22)</f>
        <v>0</v>
      </c>
      <c r="N87" s="89" t="str">
        <f>"(15)"</f>
        <v>(15)</v>
      </c>
      <c r="O87" s="93">
        <f>SUM(O82*1.22)</f>
        <v>482510</v>
      </c>
      <c r="P87" s="80" t="str">
        <f>"(15)"</f>
        <v>(15)</v>
      </c>
    </row>
    <row r="88" spans="2:16" ht="17.25" x14ac:dyDescent="0.25">
      <c r="B88" s="662"/>
      <c r="C88" s="665"/>
      <c r="D88" s="665"/>
      <c r="E88" s="665"/>
      <c r="F88" s="665"/>
      <c r="G88" s="569"/>
      <c r="H88" s="164"/>
      <c r="I88" s="93">
        <f>SUM(K88+M88+O88)</f>
        <v>50000</v>
      </c>
      <c r="J88" s="94" t="str">
        <f>"(50)"</f>
        <v>(50)</v>
      </c>
      <c r="K88" s="579">
        <f>K83</f>
        <v>0</v>
      </c>
      <c r="L88" s="89" t="str">
        <f>"(50)"</f>
        <v>(50)</v>
      </c>
      <c r="M88" s="93">
        <f>M83</f>
        <v>0</v>
      </c>
      <c r="N88" s="89" t="str">
        <f>"(50)"</f>
        <v>(50)</v>
      </c>
      <c r="O88" s="93">
        <f>O83</f>
        <v>50000</v>
      </c>
      <c r="P88" s="80" t="str">
        <f>"(50)"</f>
        <v>(50)</v>
      </c>
    </row>
    <row r="89" spans="2:16" ht="19.350000000000001" customHeight="1" thickBot="1" x14ac:dyDescent="0.3">
      <c r="B89" s="663"/>
      <c r="C89" s="668"/>
      <c r="D89" s="668"/>
      <c r="E89" s="668"/>
      <c r="F89" s="668"/>
      <c r="G89" s="569"/>
      <c r="H89" s="164"/>
      <c r="I89" s="93">
        <f>SUM(K89+M89+O89)</f>
        <v>122000</v>
      </c>
      <c r="J89" s="94" t="str">
        <f>"(55)"</f>
        <v>(55)</v>
      </c>
      <c r="K89" s="579">
        <f>SUM(K84*1.2)</f>
        <v>0</v>
      </c>
      <c r="L89" s="89" t="str">
        <f>"(55)"</f>
        <v>(55)</v>
      </c>
      <c r="M89" s="93">
        <f>SUM(M84*1.22)</f>
        <v>0</v>
      </c>
      <c r="N89" s="89" t="str">
        <f>"(55)"</f>
        <v>(55)</v>
      </c>
      <c r="O89" s="93">
        <f>SUM(O84*1.22)</f>
        <v>122000</v>
      </c>
      <c r="P89" s="80" t="str">
        <f>"(55)"</f>
        <v>(55)</v>
      </c>
    </row>
    <row r="90" spans="2:16" ht="17.25" x14ac:dyDescent="0.25">
      <c r="B90" s="661" t="str">
        <f>'kuni 2025 detsember tegevuskava'!A43&amp;"/"&amp;'kuni 2025 detsember tegevuskava'!C43</f>
        <v>ELVL/</v>
      </c>
      <c r="C90" s="664" t="str">
        <f>'kuni 2025 detsember tegevuskava'!I43</f>
        <v>Omavalitsuste veebilehtede platvorm OVP valmib 2023.a lõpuks. Alates 2024. a saaksid seda kasutusele võtta teised KOVid, kuid esialgu võib klientide hulk olla ebapiisav halduskulu katmiseks. Kuna OVP baseerub Valitsusportaalil, on vajalik hoida KOVide osa ajakohasena kui VPs toimuvad uuendused.</v>
      </c>
      <c r="D90" s="664" t="str">
        <f>'kuni 2025 detsember tegevuskava'!J43</f>
        <v>Omavalitsuste portaali ja Anna Teada väikearendused</v>
      </c>
      <c r="E90" s="664" t="str">
        <f>'kuni 2025 detsember tegevuskava'!K43</f>
        <v xml:space="preserve">Omavalitsuste portaali ja Anna Teada väikearenduste ja tarkvara hoolduse kulud. Lisaks vahesumma, mis tekib KOVidelt saadava tulu ja  portaali haldamiseks vajalike tegelike kulude vahest, juhul kui piisav hulk KOVe uut platvormi kasutusele ei võta. </v>
      </c>
      <c r="F90" s="664" t="str">
        <f>'kuni 2025 detsember tegevuskava'!P43&amp;"/"</f>
        <v>RES IKT (vaja juurde taotleda)/</v>
      </c>
      <c r="G90" s="571" cm="1">
        <f t="array" ref="G90">_xlfn.IFS('kuni 2025 detsember tegevuskava'!G43='kuni 2025 detsember tegevuskava'!$G$97,1,'kuni 2025 detsember tegevuskava'!G43='kuni 2025 detsember tegevuskava'!$G$98,2,'kuni 2025 detsember tegevuskava'!G43='kuni 2025 detsember tegevuskava'!$G$99,3,'kuni 2025 detsember tegevuskava'!G43='kuni 2025 detsember tegevuskava'!$G$100,4)</f>
        <v>4</v>
      </c>
      <c r="H90" s="166" cm="1">
        <f t="array" ref="H90">_xlfn.IFS(OR('kuni 2025 detsember tegevuskava'!P43='kuni 2025 detsember tegevuskava'!$P$97,'kuni 2025 detsember tegevuskava'!P43='kuni 2025 detsember tegevuskava'!$P$99,'kuni 2025 detsember tegevuskava'!P43='kuni 2025 detsember tegevuskava'!$P$100,'kuni 2025 detsember tegevuskava'!P43='kuni 2025 detsember tegevuskava'!$P$101),1,'kuni 2025 detsember tegevuskava'!P43='kuni 2025 detsember tegevuskava'!$P$102,2,'kuni 2025 detsember tegevuskava'!P43='kuni 2025 detsember tegevuskava'!$P$103,2,'kuni 2025 detsember tegevuskava'!P43='kuni 2025 detsember tegevuskava'!$P$98,3)</f>
        <v>1</v>
      </c>
      <c r="I90" s="121">
        <f>SUM(I91:I91)</f>
        <v>100000</v>
      </c>
      <c r="J90" s="122"/>
      <c r="K90" s="74">
        <f>SUM(K91:K91)</f>
        <v>0</v>
      </c>
      <c r="L90" s="76"/>
      <c r="M90" s="121">
        <f>SUM(M91:M91)</f>
        <v>60000</v>
      </c>
      <c r="N90" s="122"/>
      <c r="O90" s="74">
        <f>SUM(O91:O91)</f>
        <v>40000</v>
      </c>
      <c r="P90" s="78"/>
    </row>
    <row r="91" spans="2:16" ht="17.25" x14ac:dyDescent="0.25">
      <c r="B91" s="662"/>
      <c r="C91" s="665"/>
      <c r="D91" s="665"/>
      <c r="E91" s="665"/>
      <c r="F91" s="665"/>
      <c r="G91" s="569"/>
      <c r="H91" s="164"/>
      <c r="I91" s="93">
        <f>SUM(K91+M91+O91)</f>
        <v>100000</v>
      </c>
      <c r="J91" s="94" t="str">
        <f>"(55)"</f>
        <v>(55)</v>
      </c>
      <c r="K91" s="93">
        <f>'kuni 2025 detsember tegevuskava'!Z43</f>
        <v>0</v>
      </c>
      <c r="L91" s="81" t="str">
        <f>"(55)"</f>
        <v>(55)</v>
      </c>
      <c r="M91" s="93">
        <f>'kuni 2025 detsember tegevuskava'!AC43</f>
        <v>60000</v>
      </c>
      <c r="N91" s="94" t="str">
        <f>"(55)"</f>
        <v>(55)</v>
      </c>
      <c r="O91" s="90">
        <f>'kuni 2025 detsember tegevuskava'!AF43</f>
        <v>40000</v>
      </c>
      <c r="P91" s="83" t="str">
        <f>"(55)"</f>
        <v>(55)</v>
      </c>
    </row>
    <row r="92" spans="2:16" ht="17.25" x14ac:dyDescent="0.25">
      <c r="B92" s="662"/>
      <c r="C92" s="665"/>
      <c r="D92" s="665"/>
      <c r="E92" s="665"/>
      <c r="F92" s="665"/>
      <c r="G92" s="569"/>
      <c r="H92" s="164"/>
      <c r="I92" s="125" t="s">
        <v>297</v>
      </c>
      <c r="J92" s="580"/>
      <c r="K92" s="159"/>
      <c r="L92" s="8"/>
      <c r="M92" s="160"/>
      <c r="N92" s="580"/>
      <c r="O92" s="8"/>
      <c r="P92" s="146"/>
    </row>
    <row r="93" spans="2:16" ht="17.25" x14ac:dyDescent="0.25">
      <c r="B93" s="662"/>
      <c r="C93" s="665"/>
      <c r="D93" s="665"/>
      <c r="E93" s="665"/>
      <c r="F93" s="665"/>
      <c r="G93" s="569"/>
      <c r="H93" s="164"/>
      <c r="I93" s="157">
        <f>SUM(I94:I94)</f>
        <v>122000</v>
      </c>
      <c r="J93" s="94"/>
      <c r="K93" s="570">
        <f>SUM(K94:K94)</f>
        <v>0</v>
      </c>
      <c r="L93" s="85"/>
      <c r="M93" s="157">
        <f>SUM(M94:M94)</f>
        <v>73200</v>
      </c>
      <c r="N93" s="581"/>
      <c r="O93" s="91">
        <f>SUM(O94:O94)</f>
        <v>48800</v>
      </c>
      <c r="P93" s="123"/>
    </row>
    <row r="94" spans="2:16" ht="65.45" customHeight="1" thickBot="1" x14ac:dyDescent="0.3">
      <c r="B94" s="667"/>
      <c r="C94" s="666"/>
      <c r="D94" s="666"/>
      <c r="E94" s="666"/>
      <c r="F94" s="666"/>
      <c r="G94" s="578"/>
      <c r="H94" s="165"/>
      <c r="I94" s="119">
        <f>SUM(K94+M94+O94)</f>
        <v>122000</v>
      </c>
      <c r="J94" s="120" t="str">
        <f>"(55)"</f>
        <v>(55)</v>
      </c>
      <c r="K94" s="86">
        <f>SUM(K91*1.2)</f>
        <v>0</v>
      </c>
      <c r="L94" s="87" t="str">
        <f>"(55)"</f>
        <v>(55)</v>
      </c>
      <c r="M94" s="119">
        <f>SUM(M91*1.22)</f>
        <v>73200</v>
      </c>
      <c r="N94" s="120" t="str">
        <f>"(55)"</f>
        <v>(55)</v>
      </c>
      <c r="O94" s="119">
        <f>SUM(O91*1.22)</f>
        <v>48800</v>
      </c>
      <c r="P94" s="88" t="str">
        <f>"(55)"</f>
        <v>(55)</v>
      </c>
    </row>
    <row r="95" spans="2:16" ht="17.25" x14ac:dyDescent="0.25">
      <c r="B95" s="661" t="str">
        <f>'kuni 2025 detsember tegevuskava'!A44&amp;"/"&amp;'kuni 2025 detsember tegevuskava'!C44</f>
        <v>ELVL/</v>
      </c>
      <c r="C95" s="664" t="str">
        <f>'kuni 2025 detsember tegevuskava'!I44</f>
        <v>KOV on osa avalikust sektorist ning elanik ei tee tihti vahet riigi ja KOV teenustel. Hetkel ei ole KOV teenuseid liidestatud eesti.ee või riikliku mobiili-rakendusega. Elanik peab KOV teenuste kohta infot otsima KOV veebilehelt, KOV iseteenindusest vms allikast.</v>
      </c>
      <c r="D95" s="664" t="str">
        <f>'kuni 2025 detsember tegevuskava'!J44</f>
        <v>KOV teenuste keskse platvormi eelanalüüs</v>
      </c>
      <c r="E95" s="664" t="str">
        <f>'kuni 2025 detsember tegevuskava'!K44</f>
        <v xml:space="preserve">2024: eelanalüüsi hanke ettevalmistamine; 2025: KOV teenuste keskse platvormi eelanalüüsi läbiviimine ja jätkutegevuste kavandamine lähtuvalt analüüsist. Tegevuse elluviimisel koostöö RIA personaalse riigi osakonnaga. </v>
      </c>
      <c r="F95" s="664" t="str">
        <f>'kuni 2025 detsember tegevuskava'!P44&amp;"/"</f>
        <v>SF 21-27 (taotletav raha)/</v>
      </c>
      <c r="G95" s="571" cm="1">
        <f t="array" ref="G95">_xlfn.IFS('kuni 2025 detsember tegevuskava'!G44='kuni 2025 detsember tegevuskava'!$G$97,1,'kuni 2025 detsember tegevuskava'!G44='kuni 2025 detsember tegevuskava'!$G$98,2,'kuni 2025 detsember tegevuskava'!G44='kuni 2025 detsember tegevuskava'!$G$99,3,'kuni 2025 detsember tegevuskava'!G44='kuni 2025 detsember tegevuskava'!$G$100,4)</f>
        <v>1</v>
      </c>
      <c r="H95" s="166" cm="1">
        <f t="array" ref="H95">_xlfn.IFS(OR('kuni 2025 detsember tegevuskava'!P44='kuni 2025 detsember tegevuskava'!$P$97,'kuni 2025 detsember tegevuskava'!P44='kuni 2025 detsember tegevuskava'!$P$99,'kuni 2025 detsember tegevuskava'!P44='kuni 2025 detsember tegevuskava'!$P$100,'kuni 2025 detsember tegevuskava'!P44='kuni 2025 detsember tegevuskava'!$P$101),1,'kuni 2025 detsember tegevuskava'!P44='kuni 2025 detsember tegevuskava'!$P$102,2,'kuni 2025 detsember tegevuskava'!P44='kuni 2025 detsember tegevuskava'!$P$103,2,'kuni 2025 detsember tegevuskava'!P44='kuni 2025 detsember tegevuskava'!$P$98,3)</f>
        <v>2</v>
      </c>
      <c r="I95" s="121">
        <f>SUM(I96:I97)</f>
        <v>108500</v>
      </c>
      <c r="J95" s="122"/>
      <c r="K95" s="74">
        <f>SUM(K96:K97)</f>
        <v>0</v>
      </c>
      <c r="L95" s="76"/>
      <c r="M95" s="121">
        <f>SUM(M96:M97)</f>
        <v>0</v>
      </c>
      <c r="N95" s="122"/>
      <c r="O95" s="74">
        <f>SUM(O96:O97)</f>
        <v>108500</v>
      </c>
      <c r="P95" s="78"/>
    </row>
    <row r="96" spans="2:16" ht="17.25" x14ac:dyDescent="0.25">
      <c r="B96" s="662"/>
      <c r="C96" s="665"/>
      <c r="D96" s="665"/>
      <c r="E96" s="665"/>
      <c r="F96" s="665"/>
      <c r="G96" s="569"/>
      <c r="H96" s="164"/>
      <c r="I96" s="93">
        <f>SUM(K96+M96+O96)</f>
        <v>28500</v>
      </c>
      <c r="J96" s="94" t="str">
        <f>"(50)"</f>
        <v>(50)</v>
      </c>
      <c r="K96" s="579">
        <f>'kuni 2025 detsember tegevuskava'!Y44</f>
        <v>0</v>
      </c>
      <c r="L96" s="89" t="str">
        <f>"(50)"</f>
        <v>(50)</v>
      </c>
      <c r="M96" s="93">
        <f>'kuni 2025 detsember tegevuskava'!AB44</f>
        <v>0</v>
      </c>
      <c r="N96" s="94" t="str">
        <f>"(50)"</f>
        <v>(50)</v>
      </c>
      <c r="O96" s="579">
        <f>'kuni 2025 detsember tegevuskava'!AE44</f>
        <v>28500</v>
      </c>
      <c r="P96" s="80" t="str">
        <f>"(50)"</f>
        <v>(50)</v>
      </c>
    </row>
    <row r="97" spans="2:16" ht="17.25" x14ac:dyDescent="0.25">
      <c r="B97" s="662"/>
      <c r="C97" s="665"/>
      <c r="D97" s="665"/>
      <c r="E97" s="665"/>
      <c r="F97" s="665"/>
      <c r="G97" s="569"/>
      <c r="H97" s="164"/>
      <c r="I97" s="93">
        <f>SUM(K97+M97+O97)</f>
        <v>80000</v>
      </c>
      <c r="J97" s="96" t="str">
        <f>"(55)"</f>
        <v>(55)</v>
      </c>
      <c r="K97" s="90">
        <f>'kuni 2025 detsember tegevuskava'!Z44</f>
        <v>0</v>
      </c>
      <c r="L97" s="81" t="str">
        <f>"(55)"</f>
        <v>(55)</v>
      </c>
      <c r="M97" s="95">
        <f>'kuni 2025 detsember tegevuskava'!AC44</f>
        <v>0</v>
      </c>
      <c r="N97" s="96" t="str">
        <f>"(55)"</f>
        <v>(55)</v>
      </c>
      <c r="O97" s="90">
        <f>'kuni 2025 detsember tegevuskava'!AF44</f>
        <v>80000</v>
      </c>
      <c r="P97" s="83" t="str">
        <f>"(55)"</f>
        <v>(55)</v>
      </c>
    </row>
    <row r="98" spans="2:16" ht="17.25" x14ac:dyDescent="0.25">
      <c r="B98" s="662"/>
      <c r="C98" s="665"/>
      <c r="D98" s="665"/>
      <c r="E98" s="665"/>
      <c r="F98" s="665"/>
      <c r="G98" s="569"/>
      <c r="H98" s="164"/>
      <c r="I98" s="160" t="s">
        <v>297</v>
      </c>
      <c r="J98" s="8"/>
      <c r="K98" s="8"/>
      <c r="L98" s="8"/>
      <c r="M98" s="8"/>
      <c r="N98" s="8"/>
      <c r="O98" s="8"/>
      <c r="P98" s="146"/>
    </row>
    <row r="99" spans="2:16" ht="17.25" x14ac:dyDescent="0.25">
      <c r="B99" s="662"/>
      <c r="C99" s="665"/>
      <c r="D99" s="665"/>
      <c r="E99" s="665"/>
      <c r="F99" s="665"/>
      <c r="G99" s="569"/>
      <c r="H99" s="164"/>
      <c r="I99" s="157">
        <f>SUM(I100:I101)</f>
        <v>126100</v>
      </c>
      <c r="J99" s="92"/>
      <c r="K99" s="84">
        <f>SUM(K100:K101)</f>
        <v>0</v>
      </c>
      <c r="L99" s="85"/>
      <c r="M99" s="91">
        <f>SUM(M100:M101)</f>
        <v>0</v>
      </c>
      <c r="N99" s="97"/>
      <c r="O99" s="91">
        <f>SUM(O100:O101)</f>
        <v>126100</v>
      </c>
      <c r="P99" s="123"/>
    </row>
    <row r="100" spans="2:16" ht="17.25" x14ac:dyDescent="0.25">
      <c r="B100" s="662"/>
      <c r="C100" s="665"/>
      <c r="D100" s="665"/>
      <c r="E100" s="665"/>
      <c r="F100" s="665"/>
      <c r="G100" s="569"/>
      <c r="H100" s="164"/>
      <c r="I100" s="93">
        <f>SUM(K100+M100+O100)</f>
        <v>28500</v>
      </c>
      <c r="J100" s="94" t="str">
        <f>"(50)"</f>
        <v>(50)</v>
      </c>
      <c r="K100" s="579">
        <f>K96</f>
        <v>0</v>
      </c>
      <c r="L100" s="89" t="str">
        <f>"(50)"</f>
        <v>(50)</v>
      </c>
      <c r="M100" s="93">
        <f>M96</f>
        <v>0</v>
      </c>
      <c r="N100" s="94" t="str">
        <f>"(50)"</f>
        <v>(50)</v>
      </c>
      <c r="O100" s="93">
        <f>O96</f>
        <v>28500</v>
      </c>
      <c r="P100" s="80" t="str">
        <f>"(50)"</f>
        <v>(50)</v>
      </c>
    </row>
    <row r="101" spans="2:16" ht="37.35" customHeight="1" thickBot="1" x14ac:dyDescent="0.3">
      <c r="B101" s="667"/>
      <c r="C101" s="666"/>
      <c r="D101" s="666"/>
      <c r="E101" s="666"/>
      <c r="F101" s="666"/>
      <c r="G101" s="578"/>
      <c r="H101" s="165"/>
      <c r="I101" s="119">
        <f>SUM(K101+M101+O101)</f>
        <v>97600</v>
      </c>
      <c r="J101" s="120" t="str">
        <f>"(55)"</f>
        <v>(55)</v>
      </c>
      <c r="K101" s="86">
        <f>SUM(K97*1.2)</f>
        <v>0</v>
      </c>
      <c r="L101" s="87" t="str">
        <f>"(55)"</f>
        <v>(55)</v>
      </c>
      <c r="M101" s="119">
        <f>SUM(M97*1.22)</f>
        <v>0</v>
      </c>
      <c r="N101" s="120" t="str">
        <f>"(55)"</f>
        <v>(55)</v>
      </c>
      <c r="O101" s="119">
        <f>SUM(O97*1.22)</f>
        <v>97600</v>
      </c>
      <c r="P101" s="88" t="str">
        <f>"(55)"</f>
        <v>(55)</v>
      </c>
    </row>
    <row r="102" spans="2:16" ht="17.25" x14ac:dyDescent="0.25">
      <c r="B102" s="661" t="str">
        <f>'kuni 2025 detsember tegevuskava'!A45&amp;"/"&amp;'kuni 2025 detsember tegevuskava'!C45</f>
        <v>ELVL/</v>
      </c>
      <c r="C102" s="664" t="str">
        <f>'kuni 2025 detsember tegevuskava'!I45</f>
        <v>2023.a on teostatud I etapp ehk infoteenus eesti.ee. Hetkel ei ole võimalik eesti.ee kaudu KOV teenuseid taotleda.</v>
      </c>
      <c r="D102" s="664" t="str">
        <f>'kuni 2025 detsember tegevuskava'!J45</f>
        <v>Lähedase surma sündmusteenuse juhtimine</v>
      </c>
      <c r="E102" s="664" t="str">
        <f>'kuni 2025 detsember tegevuskava'!K45</f>
        <v>2024: Pilootprojekt kolme KOV-iga matusetoetuse taotluse info kuvamiseks eesti.ee-s, andmevahetuse analüüs ja prototüüp.
Pärismispildi analüüsi ettevalmistus</v>
      </c>
      <c r="F102" s="664" t="str">
        <f>'kuni 2025 detsember tegevuskava'!P45&amp;"/"</f>
        <v>RRF/</v>
      </c>
      <c r="G102" s="571" cm="1">
        <f t="array" ref="G102">_xlfn.IFS('kuni 2025 detsember tegevuskava'!G45='kuni 2025 detsember tegevuskava'!$G$97,1,'kuni 2025 detsember tegevuskava'!G45='kuni 2025 detsember tegevuskava'!$G$98,2,'kuni 2025 detsember tegevuskava'!G45='kuni 2025 detsember tegevuskava'!$G$99,3,'kuni 2025 detsember tegevuskava'!G45='kuni 2025 detsember tegevuskava'!$G$100,4)</f>
        <v>1</v>
      </c>
      <c r="H102" s="166" cm="1">
        <f t="array" ref="H102">_xlfn.IFS(OR('kuni 2025 detsember tegevuskava'!P45='kuni 2025 detsember tegevuskava'!$P$97,'kuni 2025 detsember tegevuskava'!P45='kuni 2025 detsember tegevuskava'!$P$99,'kuni 2025 detsember tegevuskava'!P45='kuni 2025 detsember tegevuskava'!$P$100,'kuni 2025 detsember tegevuskava'!P45='kuni 2025 detsember tegevuskava'!$P$101),1,'kuni 2025 detsember tegevuskava'!P45='kuni 2025 detsember tegevuskava'!$P$102,2,'kuni 2025 detsember tegevuskava'!P45='kuni 2025 detsember tegevuskava'!$P$103,2,'kuni 2025 detsember tegevuskava'!P45='kuni 2025 detsember tegevuskava'!$P$98,3)</f>
        <v>1</v>
      </c>
      <c r="I102" s="121">
        <f>SUM(I103:I104)</f>
        <v>42957</v>
      </c>
      <c r="J102" s="122"/>
      <c r="K102" s="74">
        <f>SUM(K103:K104)</f>
        <v>14933</v>
      </c>
      <c r="L102" s="76"/>
      <c r="M102" s="121">
        <f>SUM(M103:M104)</f>
        <v>28024</v>
      </c>
      <c r="N102" s="122"/>
      <c r="O102" s="74">
        <f>SUM(O103:O104)</f>
        <v>0</v>
      </c>
      <c r="P102" s="78"/>
    </row>
    <row r="103" spans="2:16" ht="17.25" x14ac:dyDescent="0.25">
      <c r="B103" s="662"/>
      <c r="C103" s="665"/>
      <c r="D103" s="665"/>
      <c r="E103" s="665"/>
      <c r="F103" s="665"/>
      <c r="G103" s="569"/>
      <c r="H103" s="164"/>
      <c r="I103" s="93">
        <f>SUM(K103+M103+O103)</f>
        <v>32171</v>
      </c>
      <c r="J103" s="94" t="str">
        <f>"(50)"</f>
        <v>(50)</v>
      </c>
      <c r="K103" s="579">
        <f>'kuni 2025 detsember tegevuskava'!Y45</f>
        <v>12647</v>
      </c>
      <c r="L103" s="89" t="str">
        <f>"(50)"</f>
        <v>(50)</v>
      </c>
      <c r="M103" s="93">
        <f>'kuni 2025 detsember tegevuskava'!AB45</f>
        <v>19524</v>
      </c>
      <c r="N103" s="94" t="str">
        <f>"(50)"</f>
        <v>(50)</v>
      </c>
      <c r="O103" s="579">
        <f>'kuni 2025 detsember tegevuskava'!AE45</f>
        <v>0</v>
      </c>
      <c r="P103" s="80" t="str">
        <f>"(50)"</f>
        <v>(50)</v>
      </c>
    </row>
    <row r="104" spans="2:16" ht="17.25" x14ac:dyDescent="0.25">
      <c r="B104" s="662"/>
      <c r="C104" s="665"/>
      <c r="D104" s="665"/>
      <c r="E104" s="665"/>
      <c r="F104" s="665"/>
      <c r="G104" s="569"/>
      <c r="H104" s="164"/>
      <c r="I104" s="93">
        <f>SUM(K104+M104+O104)</f>
        <v>10786</v>
      </c>
      <c r="J104" s="96" t="str">
        <f>"(55)"</f>
        <v>(55)</v>
      </c>
      <c r="K104" s="90">
        <f>'kuni 2025 detsember tegevuskava'!Z45</f>
        <v>2286</v>
      </c>
      <c r="L104" s="81" t="str">
        <f>"(55)"</f>
        <v>(55)</v>
      </c>
      <c r="M104" s="95">
        <f>'kuni 2025 detsember tegevuskava'!AC45</f>
        <v>8500</v>
      </c>
      <c r="N104" s="96" t="str">
        <f>"(55)"</f>
        <v>(55)</v>
      </c>
      <c r="O104" s="90">
        <f>'kuni 2025 detsember tegevuskava'!AF45</f>
        <v>0</v>
      </c>
      <c r="P104" s="83" t="str">
        <f>"(55)"</f>
        <v>(55)</v>
      </c>
    </row>
    <row r="105" spans="2:16" ht="17.25" x14ac:dyDescent="0.25">
      <c r="B105" s="662"/>
      <c r="C105" s="665"/>
      <c r="D105" s="665"/>
      <c r="E105" s="665"/>
      <c r="F105" s="665"/>
      <c r="G105" s="569"/>
      <c r="H105" s="164"/>
      <c r="I105" s="160" t="s">
        <v>297</v>
      </c>
      <c r="J105" s="8"/>
      <c r="K105" s="8"/>
      <c r="L105" s="8"/>
      <c r="M105" s="8"/>
      <c r="N105" s="8"/>
      <c r="O105" s="8"/>
      <c r="P105" s="146"/>
    </row>
    <row r="106" spans="2:16" ht="17.25" x14ac:dyDescent="0.25">
      <c r="B106" s="662"/>
      <c r="C106" s="665"/>
      <c r="D106" s="665"/>
      <c r="E106" s="665"/>
      <c r="F106" s="665"/>
      <c r="G106" s="569"/>
      <c r="H106" s="164"/>
      <c r="I106" s="157">
        <f>SUM(I107:I108)</f>
        <v>45284.2</v>
      </c>
      <c r="J106" s="92"/>
      <c r="K106" s="84">
        <f>SUM(K107:K108)</f>
        <v>15390.2</v>
      </c>
      <c r="L106" s="85"/>
      <c r="M106" s="91">
        <f>SUM(M107:M108)</f>
        <v>29894</v>
      </c>
      <c r="N106" s="97"/>
      <c r="O106" s="91">
        <f>SUM(O107:O108)</f>
        <v>0</v>
      </c>
      <c r="P106" s="123"/>
    </row>
    <row r="107" spans="2:16" ht="17.25" x14ac:dyDescent="0.25">
      <c r="B107" s="662"/>
      <c r="C107" s="665"/>
      <c r="D107" s="665"/>
      <c r="E107" s="665"/>
      <c r="F107" s="665"/>
      <c r="G107" s="569"/>
      <c r="H107" s="164"/>
      <c r="I107" s="93">
        <f>SUM(K107+M107+O107)</f>
        <v>32171</v>
      </c>
      <c r="J107" s="94" t="str">
        <f>"(50)"</f>
        <v>(50)</v>
      </c>
      <c r="K107" s="579">
        <f>K103</f>
        <v>12647</v>
      </c>
      <c r="L107" s="89" t="str">
        <f>"(50)"</f>
        <v>(50)</v>
      </c>
      <c r="M107" s="93">
        <f>M103</f>
        <v>19524</v>
      </c>
      <c r="N107" s="94" t="str">
        <f>"(50)"</f>
        <v>(50)</v>
      </c>
      <c r="O107" s="93">
        <f>O103</f>
        <v>0</v>
      </c>
      <c r="P107" s="80" t="str">
        <f>"(50)"</f>
        <v>(50)</v>
      </c>
    </row>
    <row r="108" spans="2:16" ht="16.5" customHeight="1" thickBot="1" x14ac:dyDescent="0.3">
      <c r="B108" s="667"/>
      <c r="C108" s="666"/>
      <c r="D108" s="666"/>
      <c r="E108" s="666"/>
      <c r="F108" s="666"/>
      <c r="G108" s="578"/>
      <c r="H108" s="165"/>
      <c r="I108" s="119">
        <f>SUM(K108+M108+O108)</f>
        <v>13113.2</v>
      </c>
      <c r="J108" s="120" t="str">
        <f>"(55)"</f>
        <v>(55)</v>
      </c>
      <c r="K108" s="86">
        <f>SUM(K104*1.2)</f>
        <v>2743.2</v>
      </c>
      <c r="L108" s="87" t="str">
        <f>"(55)"</f>
        <v>(55)</v>
      </c>
      <c r="M108" s="119">
        <f>SUM(M104*1.22)</f>
        <v>10370</v>
      </c>
      <c r="N108" s="120" t="str">
        <f>"(55)"</f>
        <v>(55)</v>
      </c>
      <c r="O108" s="119">
        <f>SUM(O104*1.22)</f>
        <v>0</v>
      </c>
      <c r="P108" s="88" t="str">
        <f>"(55)"</f>
        <v>(55)</v>
      </c>
    </row>
    <row r="110" spans="2:16" ht="84" customHeight="1" x14ac:dyDescent="0.25">
      <c r="B110" s="675" t="s">
        <v>418</v>
      </c>
      <c r="C110" s="675"/>
      <c r="D110" s="675"/>
      <c r="E110" s="675"/>
      <c r="F110" s="675"/>
      <c r="G110" s="675"/>
      <c r="H110" s="675"/>
      <c r="I110" s="675"/>
      <c r="J110" s="675"/>
      <c r="K110" s="675"/>
      <c r="L110" s="675"/>
      <c r="M110" s="675"/>
      <c r="N110" s="675"/>
      <c r="O110" s="675"/>
      <c r="P110" s="675"/>
    </row>
    <row r="112" spans="2:16" x14ac:dyDescent="0.25">
      <c r="B112" s="1" t="s">
        <v>420</v>
      </c>
    </row>
    <row r="113" spans="2:2" x14ac:dyDescent="0.25">
      <c r="B113" s="1" t="s">
        <v>421</v>
      </c>
    </row>
    <row r="114" spans="2:2" x14ac:dyDescent="0.2">
      <c r="B114" s="585" t="s">
        <v>419</v>
      </c>
    </row>
  </sheetData>
  <sheetProtection selectLockedCells="1" selectUnlockedCells="1"/>
  <mergeCells count="74">
    <mergeCell ref="B110:P110"/>
    <mergeCell ref="F102:F108"/>
    <mergeCell ref="F69:F73"/>
    <mergeCell ref="F74:F80"/>
    <mergeCell ref="F81:F89"/>
    <mergeCell ref="F90:F94"/>
    <mergeCell ref="F95:F101"/>
    <mergeCell ref="E102:E108"/>
    <mergeCell ref="D102:D108"/>
    <mergeCell ref="D69:D73"/>
    <mergeCell ref="D74:D80"/>
    <mergeCell ref="D81:D89"/>
    <mergeCell ref="D90:D94"/>
    <mergeCell ref="D95:D101"/>
    <mergeCell ref="E69:E73"/>
    <mergeCell ref="E74:E80"/>
    <mergeCell ref="F35:F41"/>
    <mergeCell ref="F43:F47"/>
    <mergeCell ref="F48:F54"/>
    <mergeCell ref="F55:F61"/>
    <mergeCell ref="F62:F68"/>
    <mergeCell ref="E81:E89"/>
    <mergeCell ref="E90:E94"/>
    <mergeCell ref="E95:E101"/>
    <mergeCell ref="D35:D41"/>
    <mergeCell ref="D43:D47"/>
    <mergeCell ref="D48:D54"/>
    <mergeCell ref="D55:D61"/>
    <mergeCell ref="D62:D68"/>
    <mergeCell ref="E35:E41"/>
    <mergeCell ref="E43:E47"/>
    <mergeCell ref="E48:E54"/>
    <mergeCell ref="E55:E61"/>
    <mergeCell ref="E62:E68"/>
    <mergeCell ref="C35:C41"/>
    <mergeCell ref="C43:C47"/>
    <mergeCell ref="C48:C54"/>
    <mergeCell ref="C55:C61"/>
    <mergeCell ref="C62:C68"/>
    <mergeCell ref="C102:C108"/>
    <mergeCell ref="B102:B108"/>
    <mergeCell ref="B69:B73"/>
    <mergeCell ref="B74:B80"/>
    <mergeCell ref="B81:B89"/>
    <mergeCell ref="B90:B94"/>
    <mergeCell ref="B95:B101"/>
    <mergeCell ref="C69:C73"/>
    <mergeCell ref="C74:C80"/>
    <mergeCell ref="C81:C89"/>
    <mergeCell ref="C90:C94"/>
    <mergeCell ref="C95:C101"/>
    <mergeCell ref="B35:B41"/>
    <mergeCell ref="B43:B47"/>
    <mergeCell ref="B48:B54"/>
    <mergeCell ref="B55:B61"/>
    <mergeCell ref="B62:B68"/>
    <mergeCell ref="B29:B30"/>
    <mergeCell ref="C29:C30"/>
    <mergeCell ref="D29:D30"/>
    <mergeCell ref="F29:H30"/>
    <mergeCell ref="I29:J29"/>
    <mergeCell ref="Q17:AA17"/>
    <mergeCell ref="M29:N29"/>
    <mergeCell ref="I30:J30"/>
    <mergeCell ref="K30:L30"/>
    <mergeCell ref="M30:N30"/>
    <mergeCell ref="K29:L29"/>
    <mergeCell ref="O29:P29"/>
    <mergeCell ref="O30:P30"/>
    <mergeCell ref="B7:P7"/>
    <mergeCell ref="B10:P10"/>
    <mergeCell ref="B2:P2"/>
    <mergeCell ref="Q15:AA15"/>
    <mergeCell ref="Q16:AA16"/>
  </mergeCells>
  <pageMargins left="0.25" right="0.25" top="0.75" bottom="0.75" header="0.3" footer="0.3"/>
  <pageSetup paperSize="9" scale="6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0A711-8F00-4DAA-935E-9C5996CA542D}">
  <sheetPr codeName="Leht5"/>
  <dimension ref="A2:I111"/>
  <sheetViews>
    <sheetView topLeftCell="D1" zoomScale="90" zoomScaleNormal="90" workbookViewId="0">
      <selection activeCell="B62" sqref="B62"/>
    </sheetView>
  </sheetViews>
  <sheetFormatPr defaultColWidth="9.140625" defaultRowHeight="15" x14ac:dyDescent="0.25"/>
  <cols>
    <col min="1" max="1" width="9.140625" style="1"/>
    <col min="2" max="2" width="22.28515625" style="1" customWidth="1"/>
    <col min="3" max="5" width="18" style="1" customWidth="1"/>
    <col min="6" max="6" width="15.5703125" style="1" customWidth="1"/>
    <col min="7" max="7" width="12.140625" style="1" customWidth="1"/>
    <col min="8" max="8" width="12.85546875" style="1" customWidth="1"/>
    <col min="9" max="9" width="11.85546875" style="1" customWidth="1"/>
    <col min="10" max="10" width="11.5703125" style="1" customWidth="1"/>
    <col min="11" max="11" width="13.140625" style="1" customWidth="1"/>
    <col min="12" max="12" width="11.85546875" style="1" customWidth="1"/>
    <col min="13" max="22" width="9.140625" style="1"/>
    <col min="23" max="23" width="12.28515625" style="1" bestFit="1" customWidth="1"/>
    <col min="24" max="16384" width="9.140625" style="1"/>
  </cols>
  <sheetData>
    <row r="2" spans="1:8" ht="18.75" x14ac:dyDescent="0.25">
      <c r="A2" s="111" t="s">
        <v>210</v>
      </c>
      <c r="B2" s="111"/>
    </row>
    <row r="4" spans="1:8" x14ac:dyDescent="0.25">
      <c r="B4" s="176" t="s">
        <v>298</v>
      </c>
      <c r="C4" s="676" t="s">
        <v>299</v>
      </c>
      <c r="D4" s="676"/>
      <c r="E4" s="676"/>
      <c r="F4" s="676"/>
    </row>
    <row r="5" spans="1:8" x14ac:dyDescent="0.25">
      <c r="B5" s="176"/>
      <c r="C5" s="175" t="s">
        <v>300</v>
      </c>
      <c r="D5" s="175" t="s">
        <v>301</v>
      </c>
      <c r="E5" s="175" t="s">
        <v>302</v>
      </c>
      <c r="F5" s="175" t="s">
        <v>303</v>
      </c>
    </row>
    <row r="6" spans="1:8" x14ac:dyDescent="0.25">
      <c r="B6" s="176" t="s">
        <v>304</v>
      </c>
      <c r="C6" s="177">
        <f>SUM(C7:C9)</f>
        <v>356235</v>
      </c>
      <c r="D6" s="177">
        <f t="shared" ref="D6:E6" si="0">SUM(D7:D9)</f>
        <v>316017</v>
      </c>
      <c r="E6" s="177">
        <f t="shared" si="0"/>
        <v>40218</v>
      </c>
      <c r="F6" s="178">
        <f>SUM(D6/C6)</f>
        <v>0.88710261484694097</v>
      </c>
    </row>
    <row r="7" spans="1:8" x14ac:dyDescent="0.25">
      <c r="B7" s="155" t="s">
        <v>305</v>
      </c>
      <c r="C7" s="179">
        <v>120000</v>
      </c>
      <c r="D7" s="179">
        <v>120000</v>
      </c>
      <c r="E7" s="179">
        <f>SUM(C7-D7)</f>
        <v>0</v>
      </c>
      <c r="F7" s="180">
        <f>SUM(D7/C7)</f>
        <v>1</v>
      </c>
      <c r="G7" s="112"/>
      <c r="H7" s="113"/>
    </row>
    <row r="8" spans="1:8" x14ac:dyDescent="0.25">
      <c r="B8" s="155" t="s">
        <v>306</v>
      </c>
      <c r="C8" s="179">
        <f>121017+40218</f>
        <v>161235</v>
      </c>
      <c r="D8" s="179">
        <v>121017</v>
      </c>
      <c r="E8" s="179">
        <f>SUM(C8-D8)</f>
        <v>40218</v>
      </c>
      <c r="F8" s="180">
        <f>SUM(D8/C8)</f>
        <v>0.75056284305516796</v>
      </c>
      <c r="G8" s="112"/>
    </row>
    <row r="9" spans="1:8" x14ac:dyDescent="0.25">
      <c r="B9" s="155" t="s">
        <v>307</v>
      </c>
      <c r="C9" s="179">
        <v>75000</v>
      </c>
      <c r="D9" s="179">
        <v>75000</v>
      </c>
      <c r="E9" s="179">
        <f>SUM(C9-D9)</f>
        <v>0</v>
      </c>
      <c r="F9" s="180">
        <f>SUM(D9/C9)</f>
        <v>1</v>
      </c>
    </row>
    <row r="18" spans="2:6" x14ac:dyDescent="0.25">
      <c r="B18" s="678" t="s">
        <v>308</v>
      </c>
      <c r="C18" s="676" t="s">
        <v>299</v>
      </c>
      <c r="D18" s="676"/>
      <c r="E18" s="676"/>
      <c r="F18" s="676"/>
    </row>
    <row r="19" spans="2:6" x14ac:dyDescent="0.25">
      <c r="B19" s="678"/>
      <c r="C19" s="175" t="s">
        <v>300</v>
      </c>
      <c r="D19" s="175" t="s">
        <v>301</v>
      </c>
      <c r="E19" s="175" t="s">
        <v>302</v>
      </c>
      <c r="F19" s="175" t="s">
        <v>303</v>
      </c>
    </row>
    <row r="20" spans="2:6" x14ac:dyDescent="0.25">
      <c r="B20" s="176" t="s">
        <v>304</v>
      </c>
      <c r="C20" s="177">
        <f>SUM(C21:C24)</f>
        <v>356220</v>
      </c>
      <c r="D20" s="177">
        <f t="shared" ref="D20:E20" si="1">SUM(D21:D24)</f>
        <v>316002</v>
      </c>
      <c r="E20" s="177">
        <f t="shared" si="1"/>
        <v>40218</v>
      </c>
      <c r="F20" s="178">
        <f>SUM(D20/C20)</f>
        <v>0.88709786087249454</v>
      </c>
    </row>
    <row r="21" spans="2:6" x14ac:dyDescent="0.25">
      <c r="B21" s="155" t="s">
        <v>309</v>
      </c>
      <c r="C21" s="179">
        <v>143022</v>
      </c>
      <c r="D21" s="179">
        <v>143022</v>
      </c>
      <c r="E21" s="179">
        <f>SUM(C21-D21)</f>
        <v>0</v>
      </c>
      <c r="F21" s="180">
        <f>SUM(D21/C21)</f>
        <v>1</v>
      </c>
    </row>
    <row r="22" spans="2:6" x14ac:dyDescent="0.25">
      <c r="B22" s="155" t="s">
        <v>310</v>
      </c>
      <c r="C22" s="179">
        <f>155000+34218</f>
        <v>189218</v>
      </c>
      <c r="D22" s="179">
        <v>155000</v>
      </c>
      <c r="E22" s="179">
        <f>SUM(C22-D22)</f>
        <v>34218</v>
      </c>
      <c r="F22" s="180">
        <f>SUM(D22/C22)</f>
        <v>0.81916096777262204</v>
      </c>
    </row>
    <row r="23" spans="2:6" x14ac:dyDescent="0.25">
      <c r="B23" s="155" t="s">
        <v>311</v>
      </c>
      <c r="C23" s="179">
        <f>17980+6000</f>
        <v>23980</v>
      </c>
      <c r="D23" s="179">
        <v>17980</v>
      </c>
      <c r="E23" s="179">
        <f>SUM(C23-D23)</f>
        <v>6000</v>
      </c>
      <c r="F23" s="180">
        <f>SUM(D23/C23)</f>
        <v>0.74979149291075897</v>
      </c>
    </row>
    <row r="24" spans="2:6" x14ac:dyDescent="0.25">
      <c r="B24" s="155"/>
      <c r="C24" s="179"/>
      <c r="D24" s="179"/>
      <c r="E24" s="179"/>
      <c r="F24" s="180"/>
    </row>
    <row r="33" spans="1:3" ht="18.75" x14ac:dyDescent="0.25">
      <c r="A33" s="111" t="s">
        <v>312</v>
      </c>
      <c r="B33" s="111"/>
    </row>
    <row r="35" spans="1:3" x14ac:dyDescent="0.25">
      <c r="B35" s="181" t="s">
        <v>313</v>
      </c>
      <c r="C35" s="175">
        <v>2024</v>
      </c>
    </row>
    <row r="36" spans="1:3" x14ac:dyDescent="0.25">
      <c r="B36" s="181" t="s">
        <v>199</v>
      </c>
      <c r="C36" s="177">
        <f>SUM(C37:C39)</f>
        <v>811400</v>
      </c>
    </row>
    <row r="37" spans="1:3" x14ac:dyDescent="0.25">
      <c r="B37" s="155" t="s">
        <v>305</v>
      </c>
      <c r="C37" s="179">
        <v>60000</v>
      </c>
    </row>
    <row r="38" spans="1:3" x14ac:dyDescent="0.25">
      <c r="B38" s="155" t="s">
        <v>306</v>
      </c>
      <c r="C38" s="179">
        <v>689400</v>
      </c>
    </row>
    <row r="39" spans="1:3" x14ac:dyDescent="0.25">
      <c r="B39" s="155" t="s">
        <v>314</v>
      </c>
      <c r="C39" s="179">
        <v>62000</v>
      </c>
    </row>
    <row r="41" spans="1:3" x14ac:dyDescent="0.25">
      <c r="B41" s="181" t="s">
        <v>315</v>
      </c>
      <c r="C41" s="175">
        <v>2024</v>
      </c>
    </row>
    <row r="42" spans="1:3" x14ac:dyDescent="0.25">
      <c r="B42" s="181" t="s">
        <v>199</v>
      </c>
      <c r="C42" s="177">
        <f>SUM(C43:C46)</f>
        <v>869731</v>
      </c>
    </row>
    <row r="43" spans="1:3" x14ac:dyDescent="0.25">
      <c r="B43" s="155" t="s">
        <v>309</v>
      </c>
      <c r="C43" s="179">
        <v>347431</v>
      </c>
    </row>
    <row r="44" spans="1:3" x14ac:dyDescent="0.25">
      <c r="B44" s="155" t="s">
        <v>310</v>
      </c>
      <c r="C44" s="179">
        <v>215300</v>
      </c>
    </row>
    <row r="45" spans="1:3" x14ac:dyDescent="0.25">
      <c r="B45" s="155" t="s">
        <v>311</v>
      </c>
      <c r="C45" s="179">
        <v>307000</v>
      </c>
    </row>
    <row r="46" spans="1:3" x14ac:dyDescent="0.25">
      <c r="B46" s="155" t="s">
        <v>316</v>
      </c>
      <c r="C46" s="179">
        <v>0</v>
      </c>
    </row>
    <row r="49" spans="1:9" ht="18.75" x14ac:dyDescent="0.25">
      <c r="A49" s="111" t="s">
        <v>317</v>
      </c>
    </row>
    <row r="51" spans="1:9" x14ac:dyDescent="0.25">
      <c r="B51" s="124"/>
      <c r="C51" s="185"/>
      <c r="D51" s="185"/>
    </row>
    <row r="52" spans="1:9" ht="30.75" x14ac:dyDescent="0.25">
      <c r="B52" s="181" t="s">
        <v>318</v>
      </c>
      <c r="C52" s="187">
        <v>44197</v>
      </c>
      <c r="D52" s="187">
        <v>44562</v>
      </c>
      <c r="E52" s="187">
        <v>44927</v>
      </c>
      <c r="F52" s="187">
        <v>45292</v>
      </c>
      <c r="G52" s="175" t="s">
        <v>319</v>
      </c>
      <c r="H52" s="175" t="s">
        <v>320</v>
      </c>
      <c r="I52" s="175" t="s">
        <v>321</v>
      </c>
    </row>
    <row r="53" spans="1:9" x14ac:dyDescent="0.25">
      <c r="B53" s="184" t="s">
        <v>322</v>
      </c>
      <c r="C53" s="179">
        <v>2</v>
      </c>
      <c r="D53" s="179">
        <v>3</v>
      </c>
      <c r="E53" s="179">
        <v>3</v>
      </c>
      <c r="F53" s="179">
        <v>3.5</v>
      </c>
      <c r="G53" s="179">
        <v>4.5</v>
      </c>
      <c r="H53" s="179">
        <v>5</v>
      </c>
      <c r="I53" s="179">
        <v>5</v>
      </c>
    </row>
    <row r="54" spans="1:9" ht="25.5" x14ac:dyDescent="0.25">
      <c r="B54" s="184" t="s">
        <v>323</v>
      </c>
      <c r="C54" s="184">
        <v>0</v>
      </c>
      <c r="D54" s="191">
        <f t="shared" ref="D54:I54" si="2">SUM(((D53/C53)*100)-100)</f>
        <v>50</v>
      </c>
      <c r="E54" s="191">
        <f t="shared" si="2"/>
        <v>0</v>
      </c>
      <c r="F54" s="191">
        <f t="shared" si="2"/>
        <v>16.666666666666671</v>
      </c>
      <c r="G54" s="191">
        <f t="shared" si="2"/>
        <v>28.571428571428584</v>
      </c>
      <c r="H54" s="191">
        <f t="shared" si="2"/>
        <v>11.111111111111114</v>
      </c>
      <c r="I54" s="191">
        <f t="shared" si="2"/>
        <v>0</v>
      </c>
    </row>
    <row r="55" spans="1:9" x14ac:dyDescent="0.25">
      <c r="B55" s="679" t="s">
        <v>324</v>
      </c>
      <c r="C55" s="680"/>
      <c r="D55" s="680"/>
      <c r="E55" s="680"/>
      <c r="F55" s="680"/>
      <c r="G55" s="680"/>
      <c r="H55" s="680"/>
      <c r="I55" s="681"/>
    </row>
    <row r="56" spans="1:9" x14ac:dyDescent="0.25">
      <c r="B56" s="186"/>
      <c r="C56" s="186"/>
      <c r="D56" s="186"/>
      <c r="E56" s="186"/>
      <c r="F56" s="186"/>
      <c r="G56" s="186"/>
      <c r="H56" s="186"/>
    </row>
    <row r="57" spans="1:9" x14ac:dyDescent="0.25">
      <c r="B57" s="186"/>
      <c r="C57" s="186"/>
      <c r="D57" s="186"/>
      <c r="E57" s="186"/>
      <c r="F57" s="186"/>
      <c r="G57" s="186"/>
      <c r="H57" s="186"/>
    </row>
    <row r="58" spans="1:9" x14ac:dyDescent="0.25">
      <c r="B58" s="186"/>
      <c r="C58" s="186"/>
      <c r="D58" s="186"/>
      <c r="E58" s="192"/>
      <c r="F58" s="192"/>
      <c r="G58" s="192"/>
      <c r="H58" s="192"/>
      <c r="I58" s="192"/>
    </row>
    <row r="59" spans="1:9" x14ac:dyDescent="0.25">
      <c r="B59" s="186"/>
      <c r="C59" s="186"/>
      <c r="D59" s="186"/>
      <c r="E59" s="186"/>
      <c r="F59" s="186"/>
      <c r="G59" s="186"/>
      <c r="H59" s="186"/>
    </row>
    <row r="60" spans="1:9" x14ac:dyDescent="0.25">
      <c r="B60" s="186"/>
      <c r="C60" s="186"/>
      <c r="D60" s="186"/>
      <c r="E60" s="186"/>
      <c r="F60" s="186"/>
      <c r="G60" s="186"/>
      <c r="H60" s="186"/>
    </row>
    <row r="61" spans="1:9" x14ac:dyDescent="0.25">
      <c r="B61" s="186"/>
      <c r="C61" s="186"/>
      <c r="D61" s="186"/>
      <c r="E61" s="186"/>
      <c r="F61" s="186"/>
      <c r="G61" s="186"/>
      <c r="H61" s="186"/>
    </row>
    <row r="62" spans="1:9" x14ac:dyDescent="0.25">
      <c r="B62" s="186"/>
      <c r="C62" s="186"/>
      <c r="D62" s="186"/>
      <c r="E62" s="186"/>
      <c r="F62" s="186"/>
      <c r="G62" s="186"/>
      <c r="H62" s="186"/>
    </row>
    <row r="63" spans="1:9" x14ac:dyDescent="0.25">
      <c r="B63" s="186"/>
      <c r="C63" s="186"/>
      <c r="D63" s="186"/>
      <c r="E63" s="186"/>
      <c r="F63" s="186"/>
      <c r="G63" s="186"/>
      <c r="H63" s="186"/>
    </row>
    <row r="64" spans="1:9" x14ac:dyDescent="0.25">
      <c r="B64" s="186"/>
      <c r="C64" s="186"/>
      <c r="D64" s="186"/>
      <c r="E64" s="186"/>
      <c r="F64" s="186"/>
      <c r="G64" s="186"/>
      <c r="H64" s="186"/>
    </row>
    <row r="65" spans="2:8" x14ac:dyDescent="0.25">
      <c r="B65" s="186"/>
      <c r="C65" s="186"/>
      <c r="D65" s="186"/>
      <c r="E65" s="186"/>
      <c r="F65" s="186"/>
      <c r="G65" s="186"/>
      <c r="H65" s="186"/>
    </row>
    <row r="66" spans="2:8" x14ac:dyDescent="0.25">
      <c r="B66" s="186"/>
      <c r="C66" s="186"/>
      <c r="D66" s="186"/>
      <c r="E66" s="186"/>
      <c r="F66" s="186"/>
      <c r="G66" s="186"/>
      <c r="H66" s="186"/>
    </row>
    <row r="67" spans="2:8" x14ac:dyDescent="0.25">
      <c r="B67" s="186"/>
      <c r="C67" s="186"/>
      <c r="D67" s="186"/>
      <c r="E67" s="186"/>
      <c r="F67" s="186"/>
      <c r="G67" s="186"/>
      <c r="H67" s="186"/>
    </row>
    <row r="68" spans="2:8" x14ac:dyDescent="0.25">
      <c r="B68" s="186"/>
      <c r="C68" s="186"/>
      <c r="D68" s="186"/>
      <c r="E68" s="186"/>
      <c r="F68" s="186"/>
      <c r="G68" s="186"/>
      <c r="H68" s="186"/>
    </row>
    <row r="69" spans="2:8" x14ac:dyDescent="0.25">
      <c r="B69" s="124"/>
      <c r="C69" s="676" t="s">
        <v>325</v>
      </c>
      <c r="D69" s="677"/>
      <c r="E69" s="677"/>
      <c r="F69" s="676" t="s">
        <v>326</v>
      </c>
      <c r="G69" s="677"/>
      <c r="H69" s="677"/>
    </row>
    <row r="70" spans="2:8" x14ac:dyDescent="0.25">
      <c r="B70" s="181" t="s">
        <v>327</v>
      </c>
      <c r="C70" s="188" t="s">
        <v>328</v>
      </c>
      <c r="D70" s="189" t="s">
        <v>329</v>
      </c>
      <c r="E70" s="189" t="s">
        <v>199</v>
      </c>
      <c r="F70" s="188" t="s">
        <v>328</v>
      </c>
      <c r="G70" s="189" t="s">
        <v>329</v>
      </c>
      <c r="H70" s="189" t="s">
        <v>199</v>
      </c>
    </row>
    <row r="71" spans="2:8" x14ac:dyDescent="0.25">
      <c r="B71" s="182" t="s">
        <v>199</v>
      </c>
      <c r="C71" s="183">
        <f t="shared" ref="C71:H71" si="3">SUM(C72:C83)</f>
        <v>26</v>
      </c>
      <c r="D71" s="183">
        <f t="shared" si="3"/>
        <v>9</v>
      </c>
      <c r="E71" s="183">
        <f t="shared" si="3"/>
        <v>35</v>
      </c>
      <c r="F71" s="183">
        <f t="shared" si="3"/>
        <v>28</v>
      </c>
      <c r="G71" s="183">
        <f t="shared" si="3"/>
        <v>17</v>
      </c>
      <c r="H71" s="183">
        <f t="shared" si="3"/>
        <v>45</v>
      </c>
    </row>
    <row r="72" spans="2:8" x14ac:dyDescent="0.25">
      <c r="B72" s="156" t="s">
        <v>330</v>
      </c>
      <c r="C72" s="179">
        <v>2</v>
      </c>
      <c r="D72" s="179">
        <v>1</v>
      </c>
      <c r="E72" s="167">
        <f t="shared" ref="E72:E83" si="4">SUM(C72:D72)</f>
        <v>3</v>
      </c>
      <c r="F72" s="179">
        <v>2</v>
      </c>
      <c r="G72" s="179">
        <v>1</v>
      </c>
      <c r="H72" s="167">
        <f t="shared" ref="H72:H83" si="5">SUM(F72:G72)</f>
        <v>3</v>
      </c>
    </row>
    <row r="73" spans="2:8" ht="25.5" x14ac:dyDescent="0.25">
      <c r="B73" s="156" t="s">
        <v>331</v>
      </c>
      <c r="C73" s="179">
        <v>3</v>
      </c>
      <c r="D73" s="179">
        <v>0</v>
      </c>
      <c r="E73" s="167">
        <f t="shared" si="4"/>
        <v>3</v>
      </c>
      <c r="F73" s="179">
        <v>5</v>
      </c>
      <c r="G73" s="179">
        <v>0</v>
      </c>
      <c r="H73" s="167">
        <f t="shared" si="5"/>
        <v>5</v>
      </c>
    </row>
    <row r="74" spans="2:8" x14ac:dyDescent="0.25">
      <c r="B74" s="156" t="s">
        <v>332</v>
      </c>
      <c r="C74" s="179">
        <v>2</v>
      </c>
      <c r="D74" s="179">
        <v>0</v>
      </c>
      <c r="E74" s="167">
        <f t="shared" si="4"/>
        <v>2</v>
      </c>
      <c r="F74" s="179">
        <v>2</v>
      </c>
      <c r="G74" s="179">
        <v>8</v>
      </c>
      <c r="H74" s="167">
        <f t="shared" si="5"/>
        <v>10</v>
      </c>
    </row>
    <row r="75" spans="2:8" ht="25.5" x14ac:dyDescent="0.25">
      <c r="B75" s="156" t="s">
        <v>333</v>
      </c>
      <c r="C75" s="179">
        <v>2</v>
      </c>
      <c r="D75" s="179">
        <v>2</v>
      </c>
      <c r="E75" s="167">
        <f t="shared" si="4"/>
        <v>4</v>
      </c>
      <c r="F75" s="179">
        <v>2</v>
      </c>
      <c r="G75" s="179">
        <v>2</v>
      </c>
      <c r="H75" s="167">
        <f t="shared" si="5"/>
        <v>4</v>
      </c>
    </row>
    <row r="76" spans="2:8" x14ac:dyDescent="0.25">
      <c r="B76" s="156" t="s">
        <v>334</v>
      </c>
      <c r="C76" s="179">
        <v>4</v>
      </c>
      <c r="D76" s="179">
        <v>2</v>
      </c>
      <c r="E76" s="167">
        <f t="shared" si="4"/>
        <v>6</v>
      </c>
      <c r="F76" s="179">
        <v>4</v>
      </c>
      <c r="G76" s="179">
        <v>2</v>
      </c>
      <c r="H76" s="167">
        <f t="shared" si="5"/>
        <v>6</v>
      </c>
    </row>
    <row r="77" spans="2:8" x14ac:dyDescent="0.25">
      <c r="B77" s="156" t="s">
        <v>335</v>
      </c>
      <c r="C77" s="179">
        <v>0</v>
      </c>
      <c r="D77" s="179">
        <v>0</v>
      </c>
      <c r="E77" s="167">
        <f t="shared" si="4"/>
        <v>0</v>
      </c>
      <c r="F77" s="179">
        <v>0</v>
      </c>
      <c r="G77" s="179">
        <v>0</v>
      </c>
      <c r="H77" s="167">
        <f t="shared" si="5"/>
        <v>0</v>
      </c>
    </row>
    <row r="78" spans="2:8" x14ac:dyDescent="0.25">
      <c r="B78" s="156" t="s">
        <v>336</v>
      </c>
      <c r="C78" s="179">
        <v>2</v>
      </c>
      <c r="D78" s="179">
        <v>0</v>
      </c>
      <c r="E78" s="167">
        <f t="shared" si="4"/>
        <v>2</v>
      </c>
      <c r="F78" s="179">
        <v>2</v>
      </c>
      <c r="G78" s="179">
        <v>0</v>
      </c>
      <c r="H78" s="167">
        <f t="shared" si="5"/>
        <v>2</v>
      </c>
    </row>
    <row r="79" spans="2:8" x14ac:dyDescent="0.25">
      <c r="B79" s="156" t="s">
        <v>337</v>
      </c>
      <c r="C79" s="179">
        <v>2</v>
      </c>
      <c r="D79" s="179">
        <v>1</v>
      </c>
      <c r="E79" s="167">
        <f t="shared" si="4"/>
        <v>3</v>
      </c>
      <c r="F79" s="179">
        <v>2</v>
      </c>
      <c r="G79" s="179">
        <v>1</v>
      </c>
      <c r="H79" s="167">
        <f t="shared" si="5"/>
        <v>3</v>
      </c>
    </row>
    <row r="80" spans="2:8" x14ac:dyDescent="0.25">
      <c r="B80" s="156" t="s">
        <v>338</v>
      </c>
      <c r="C80" s="179">
        <v>1</v>
      </c>
      <c r="D80" s="179">
        <v>0</v>
      </c>
      <c r="E80" s="167">
        <f t="shared" si="4"/>
        <v>1</v>
      </c>
      <c r="F80" s="179">
        <v>1</v>
      </c>
      <c r="G80" s="179">
        <v>0</v>
      </c>
      <c r="H80" s="167">
        <f t="shared" si="5"/>
        <v>1</v>
      </c>
    </row>
    <row r="81" spans="2:8" x14ac:dyDescent="0.25">
      <c r="B81" s="156" t="s">
        <v>339</v>
      </c>
      <c r="C81" s="179">
        <v>5</v>
      </c>
      <c r="D81" s="179">
        <v>2</v>
      </c>
      <c r="E81" s="167">
        <f t="shared" si="4"/>
        <v>7</v>
      </c>
      <c r="F81" s="179">
        <v>5</v>
      </c>
      <c r="G81" s="179">
        <v>2</v>
      </c>
      <c r="H81" s="167">
        <f t="shared" si="5"/>
        <v>7</v>
      </c>
    </row>
    <row r="82" spans="2:8" x14ac:dyDescent="0.25">
      <c r="B82" s="156" t="s">
        <v>340</v>
      </c>
      <c r="C82" s="179">
        <v>3</v>
      </c>
      <c r="D82" s="179">
        <v>1</v>
      </c>
      <c r="E82" s="167">
        <f>SUM(C82:D82)</f>
        <v>4</v>
      </c>
      <c r="F82" s="179">
        <v>3</v>
      </c>
      <c r="G82" s="179">
        <v>1</v>
      </c>
      <c r="H82" s="167">
        <f>SUM(F82:G82)</f>
        <v>4</v>
      </c>
    </row>
    <row r="83" spans="2:8" x14ac:dyDescent="0.25">
      <c r="B83" s="156" t="s">
        <v>341</v>
      </c>
      <c r="C83" s="179"/>
      <c r="D83" s="179"/>
      <c r="E83" s="167">
        <f t="shared" si="4"/>
        <v>0</v>
      </c>
      <c r="F83" s="168"/>
      <c r="G83" s="168"/>
      <c r="H83" s="167">
        <f t="shared" si="5"/>
        <v>0</v>
      </c>
    </row>
    <row r="84" spans="2:8" x14ac:dyDescent="0.25">
      <c r="B84" s="190" t="s">
        <v>342</v>
      </c>
    </row>
    <row r="87" spans="2:8" x14ac:dyDescent="0.25">
      <c r="B87" s="161" t="s">
        <v>343</v>
      </c>
      <c r="C87" s="1" t="s">
        <v>344</v>
      </c>
    </row>
    <row r="88" spans="2:8" x14ac:dyDescent="0.25">
      <c r="B88" s="161" t="s">
        <v>345</v>
      </c>
      <c r="C88" s="1" t="s">
        <v>346</v>
      </c>
    </row>
    <row r="89" spans="2:8" x14ac:dyDescent="0.25">
      <c r="B89" s="161" t="s">
        <v>347</v>
      </c>
      <c r="C89" s="1" t="s">
        <v>348</v>
      </c>
    </row>
    <row r="90" spans="2:8" x14ac:dyDescent="0.25">
      <c r="B90" s="161" t="s">
        <v>349</v>
      </c>
      <c r="C90" s="1" t="s">
        <v>350</v>
      </c>
    </row>
    <row r="91" spans="2:8" x14ac:dyDescent="0.25">
      <c r="B91" s="161" t="s">
        <v>351</v>
      </c>
      <c r="C91" s="1" t="s">
        <v>352</v>
      </c>
    </row>
    <row r="92" spans="2:8" x14ac:dyDescent="0.25">
      <c r="B92" s="161" t="s">
        <v>353</v>
      </c>
      <c r="C92" s="1" t="s">
        <v>354</v>
      </c>
    </row>
    <row r="93" spans="2:8" x14ac:dyDescent="0.25">
      <c r="B93" s="161" t="s">
        <v>355</v>
      </c>
      <c r="C93" s="1" t="s">
        <v>356</v>
      </c>
    </row>
    <row r="94" spans="2:8" x14ac:dyDescent="0.25">
      <c r="B94" s="161" t="s">
        <v>357</v>
      </c>
      <c r="C94" s="1" t="s">
        <v>358</v>
      </c>
    </row>
    <row r="95" spans="2:8" x14ac:dyDescent="0.25">
      <c r="B95" s="161" t="s">
        <v>359</v>
      </c>
      <c r="C95" s="1" t="s">
        <v>360</v>
      </c>
    </row>
    <row r="96" spans="2:8" x14ac:dyDescent="0.25">
      <c r="B96" s="161" t="s">
        <v>361</v>
      </c>
      <c r="C96" s="1" t="s">
        <v>362</v>
      </c>
    </row>
    <row r="97" spans="2:3" x14ac:dyDescent="0.25">
      <c r="B97" s="161" t="s">
        <v>363</v>
      </c>
      <c r="C97" s="1" t="s">
        <v>364</v>
      </c>
    </row>
    <row r="98" spans="2:3" x14ac:dyDescent="0.25">
      <c r="C98" s="1" t="s">
        <v>365</v>
      </c>
    </row>
    <row r="99" spans="2:3" x14ac:dyDescent="0.25">
      <c r="C99" s="1" t="s">
        <v>366</v>
      </c>
    </row>
    <row r="100" spans="2:3" x14ac:dyDescent="0.25">
      <c r="C100" s="1" t="s">
        <v>367</v>
      </c>
    </row>
    <row r="101" spans="2:3" x14ac:dyDescent="0.25">
      <c r="C101" s="1" t="s">
        <v>368</v>
      </c>
    </row>
    <row r="102" spans="2:3" x14ac:dyDescent="0.25">
      <c r="C102" s="1" t="s">
        <v>369</v>
      </c>
    </row>
    <row r="103" spans="2:3" x14ac:dyDescent="0.25">
      <c r="C103" s="1" t="s">
        <v>370</v>
      </c>
    </row>
    <row r="104" spans="2:3" x14ac:dyDescent="0.25">
      <c r="C104" s="1" t="s">
        <v>371</v>
      </c>
    </row>
    <row r="105" spans="2:3" x14ac:dyDescent="0.25">
      <c r="C105" s="1" t="s">
        <v>372</v>
      </c>
    </row>
    <row r="106" spans="2:3" x14ac:dyDescent="0.25">
      <c r="C106" s="1" t="s">
        <v>373</v>
      </c>
    </row>
    <row r="107" spans="2:3" x14ac:dyDescent="0.25">
      <c r="C107" s="1" t="s">
        <v>374</v>
      </c>
    </row>
    <row r="108" spans="2:3" x14ac:dyDescent="0.25">
      <c r="C108" s="1" t="s">
        <v>375</v>
      </c>
    </row>
    <row r="109" spans="2:3" x14ac:dyDescent="0.25">
      <c r="C109" s="1" t="s">
        <v>376</v>
      </c>
    </row>
    <row r="110" spans="2:3" x14ac:dyDescent="0.25">
      <c r="C110" s="1" t="s">
        <v>377</v>
      </c>
    </row>
    <row r="111" spans="2:3" x14ac:dyDescent="0.25">
      <c r="C111" s="1" t="s">
        <v>378</v>
      </c>
    </row>
  </sheetData>
  <mergeCells count="6">
    <mergeCell ref="C69:E69"/>
    <mergeCell ref="F69:H69"/>
    <mergeCell ref="C4:F4"/>
    <mergeCell ref="B18:B19"/>
    <mergeCell ref="C18:F18"/>
    <mergeCell ref="B55:I5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1B779-C712-437B-A0C2-BA60C0D1A9C7}">
  <sheetPr codeName="Leht6"/>
  <dimension ref="A1:Q50"/>
  <sheetViews>
    <sheetView workbookViewId="0">
      <selection activeCell="P11" sqref="P11"/>
    </sheetView>
  </sheetViews>
  <sheetFormatPr defaultRowHeight="15" customHeight="1" x14ac:dyDescent="0.25"/>
  <cols>
    <col min="1" max="1" width="32.42578125" customWidth="1"/>
    <col min="2" max="2" width="15.85546875" customWidth="1"/>
    <col min="3" max="3" width="15.28515625" customWidth="1"/>
    <col min="4" max="4" width="25.28515625" customWidth="1"/>
    <col min="5" max="9" width="5.85546875" customWidth="1"/>
    <col min="10" max="10" width="12.28515625" customWidth="1"/>
    <col min="11" max="11" width="15.28515625" customWidth="1"/>
    <col min="12" max="12" width="16.7109375" customWidth="1"/>
    <col min="13" max="13" width="15.85546875" customWidth="1"/>
    <col min="14" max="14" width="22.28515625" customWidth="1"/>
    <col min="15" max="15" width="19.140625" customWidth="1"/>
    <col min="16" max="16" width="12.28515625" customWidth="1"/>
    <col min="17" max="17" width="20.140625" customWidth="1"/>
    <col min="16383" max="16383" width="9.140625" bestFit="1" customWidth="1"/>
  </cols>
  <sheetData>
    <row r="1" spans="1:17" s="454" customFormat="1" ht="60.75" customHeight="1" x14ac:dyDescent="0.25">
      <c r="A1" s="453" t="s">
        <v>379</v>
      </c>
      <c r="B1" s="453" t="s">
        <v>380</v>
      </c>
      <c r="C1" s="453" t="s">
        <v>380</v>
      </c>
      <c r="D1" s="453" t="s">
        <v>381</v>
      </c>
      <c r="E1" s="684" t="s">
        <v>382</v>
      </c>
      <c r="F1" s="685"/>
      <c r="G1" s="685"/>
      <c r="H1" s="685"/>
      <c r="I1" s="686"/>
      <c r="J1" s="453" t="s">
        <v>383</v>
      </c>
      <c r="K1" s="453" t="s">
        <v>384</v>
      </c>
      <c r="L1" s="453" t="s">
        <v>385</v>
      </c>
      <c r="M1" s="453" t="s">
        <v>386</v>
      </c>
      <c r="N1" s="453" t="s">
        <v>387</v>
      </c>
      <c r="O1" s="453" t="s">
        <v>388</v>
      </c>
      <c r="P1" s="453" t="s">
        <v>389</v>
      </c>
      <c r="Q1" s="453" t="s">
        <v>390</v>
      </c>
    </row>
    <row r="2" spans="1:17" ht="34.15" customHeight="1" x14ac:dyDescent="0.25">
      <c r="A2" s="682" t="s">
        <v>391</v>
      </c>
      <c r="B2" s="682" t="s">
        <v>392</v>
      </c>
      <c r="C2" s="682" t="s">
        <v>393</v>
      </c>
      <c r="D2" s="682" t="s">
        <v>394</v>
      </c>
      <c r="E2" s="687" t="s">
        <v>395</v>
      </c>
      <c r="F2" s="685"/>
      <c r="G2" s="685"/>
      <c r="H2" s="685"/>
      <c r="I2" s="686"/>
      <c r="J2" s="682" t="s">
        <v>396</v>
      </c>
      <c r="K2" s="682" t="s">
        <v>397</v>
      </c>
      <c r="L2" s="688" t="s">
        <v>398</v>
      </c>
      <c r="M2" s="688" t="s">
        <v>399</v>
      </c>
      <c r="N2" s="688" t="s">
        <v>400</v>
      </c>
      <c r="O2" s="682" t="s">
        <v>401</v>
      </c>
      <c r="P2" s="682" t="s">
        <v>402</v>
      </c>
      <c r="Q2" s="682" t="s">
        <v>403</v>
      </c>
    </row>
    <row r="3" spans="1:17" ht="27.6" customHeight="1" x14ac:dyDescent="0.25">
      <c r="A3" s="683"/>
      <c r="B3" s="683"/>
      <c r="C3" s="683"/>
      <c r="D3" s="683"/>
      <c r="E3" s="455">
        <v>2023</v>
      </c>
      <c r="F3" s="455">
        <v>2024</v>
      </c>
      <c r="G3" s="455">
        <v>2025</v>
      </c>
      <c r="H3" s="455">
        <v>2026</v>
      </c>
      <c r="I3" s="455">
        <v>2027</v>
      </c>
      <c r="J3" s="683"/>
      <c r="K3" s="683"/>
      <c r="L3" s="689"/>
      <c r="M3" s="689"/>
      <c r="N3" s="689"/>
      <c r="O3" s="683"/>
      <c r="P3" s="683"/>
      <c r="Q3" s="683"/>
    </row>
    <row r="4" spans="1:17" s="73" customFormat="1" x14ac:dyDescent="0.25">
      <c r="A4" s="456" t="s">
        <v>101</v>
      </c>
      <c r="B4" s="456" t="s">
        <v>351</v>
      </c>
      <c r="C4" s="456">
        <v>3</v>
      </c>
      <c r="D4" s="456" t="s">
        <v>377</v>
      </c>
      <c r="E4" s="457"/>
      <c r="F4" s="457" t="s">
        <v>261</v>
      </c>
      <c r="G4" s="457"/>
      <c r="H4" s="457"/>
      <c r="I4" s="457"/>
      <c r="J4" s="489" t="s">
        <v>404</v>
      </c>
      <c r="K4" s="456" t="s">
        <v>405</v>
      </c>
      <c r="L4" s="459">
        <v>25609</v>
      </c>
      <c r="M4" s="456" t="s">
        <v>406</v>
      </c>
      <c r="N4" s="456"/>
      <c r="O4" s="510" t="s">
        <v>407</v>
      </c>
      <c r="P4" s="456">
        <v>0.5</v>
      </c>
      <c r="Q4" s="456" t="s">
        <v>408</v>
      </c>
    </row>
    <row r="5" spans="1:17" s="73" customFormat="1" x14ac:dyDescent="0.25">
      <c r="A5" s="456" t="s">
        <v>119</v>
      </c>
      <c r="B5" s="456" t="s">
        <v>351</v>
      </c>
      <c r="C5" s="456">
        <v>3</v>
      </c>
      <c r="D5" s="456" t="s">
        <v>378</v>
      </c>
      <c r="E5" s="457"/>
      <c r="F5" s="457" t="s">
        <v>261</v>
      </c>
      <c r="G5" s="457"/>
      <c r="H5" s="457"/>
      <c r="I5" s="457"/>
      <c r="J5" s="489" t="s">
        <v>404</v>
      </c>
      <c r="K5" s="456" t="s">
        <v>405</v>
      </c>
      <c r="L5" s="459">
        <v>29286</v>
      </c>
      <c r="M5" s="456" t="s">
        <v>406</v>
      </c>
      <c r="N5" s="456"/>
      <c r="O5" s="510" t="s">
        <v>407</v>
      </c>
      <c r="P5" s="456">
        <v>0.6</v>
      </c>
      <c r="Q5" s="456" t="s">
        <v>408</v>
      </c>
    </row>
    <row r="6" spans="1:17" s="1" customFormat="1" x14ac:dyDescent="0.25">
      <c r="A6" s="456" t="s">
        <v>129</v>
      </c>
      <c r="B6" s="456" t="s">
        <v>351</v>
      </c>
      <c r="C6" s="456">
        <v>2</v>
      </c>
      <c r="D6" s="456" t="s">
        <v>364</v>
      </c>
      <c r="E6" s="457"/>
      <c r="F6" s="457" t="s">
        <v>261</v>
      </c>
      <c r="G6" s="457"/>
      <c r="H6" s="457"/>
      <c r="I6" s="457"/>
      <c r="J6" s="489" t="s">
        <v>404</v>
      </c>
      <c r="K6" s="456" t="s">
        <v>405</v>
      </c>
      <c r="L6" s="459">
        <v>29286</v>
      </c>
      <c r="M6" s="456" t="s">
        <v>406</v>
      </c>
      <c r="N6" s="456"/>
      <c r="O6" s="510" t="s">
        <v>407</v>
      </c>
      <c r="P6" s="456">
        <v>0.6</v>
      </c>
      <c r="Q6" s="456" t="s">
        <v>408</v>
      </c>
    </row>
    <row r="7" spans="1:17" s="1" customFormat="1" x14ac:dyDescent="0.25">
      <c r="A7" s="510" t="s">
        <v>129</v>
      </c>
      <c r="B7" s="510" t="s">
        <v>349</v>
      </c>
      <c r="C7" s="510">
        <v>2</v>
      </c>
      <c r="D7" s="510" t="s">
        <v>364</v>
      </c>
      <c r="E7" s="511"/>
      <c r="F7" s="511" t="s">
        <v>261</v>
      </c>
      <c r="G7" s="511"/>
      <c r="H7" s="511"/>
      <c r="I7" s="511"/>
      <c r="J7" s="512" t="s">
        <v>409</v>
      </c>
      <c r="K7" s="510" t="s">
        <v>405</v>
      </c>
      <c r="L7" s="513">
        <v>20000</v>
      </c>
      <c r="M7" s="510" t="s">
        <v>406</v>
      </c>
      <c r="N7" s="510" t="s">
        <v>410</v>
      </c>
      <c r="O7" s="510" t="s">
        <v>411</v>
      </c>
      <c r="P7" s="510" t="s">
        <v>412</v>
      </c>
      <c r="Q7" s="510" t="s">
        <v>408</v>
      </c>
    </row>
    <row r="8" spans="1:17" s="1" customFormat="1" x14ac:dyDescent="0.25">
      <c r="A8" s="456" t="s">
        <v>230</v>
      </c>
      <c r="B8" s="460" t="s">
        <v>343</v>
      </c>
      <c r="C8" s="460">
        <v>2</v>
      </c>
      <c r="D8" s="460" t="s">
        <v>346</v>
      </c>
      <c r="E8" s="458"/>
      <c r="F8" s="457" t="s">
        <v>261</v>
      </c>
      <c r="G8" s="458"/>
      <c r="H8" s="458"/>
      <c r="I8" s="458"/>
      <c r="J8" s="490" t="s">
        <v>404</v>
      </c>
      <c r="K8" s="460" t="s">
        <v>405</v>
      </c>
      <c r="L8" s="461">
        <v>48168</v>
      </c>
      <c r="M8" s="456" t="s">
        <v>406</v>
      </c>
      <c r="N8" s="460"/>
      <c r="O8" s="510" t="s">
        <v>413</v>
      </c>
      <c r="P8" s="460">
        <v>1</v>
      </c>
      <c r="Q8" s="456" t="s">
        <v>408</v>
      </c>
    </row>
    <row r="9" spans="1:17" s="1" customFormat="1" x14ac:dyDescent="0.25">
      <c r="A9" s="460" t="s">
        <v>167</v>
      </c>
      <c r="B9" s="460" t="s">
        <v>357</v>
      </c>
      <c r="C9" s="460">
        <v>2</v>
      </c>
      <c r="D9" s="460" t="s">
        <v>367</v>
      </c>
      <c r="E9" s="458"/>
      <c r="F9" s="458"/>
      <c r="G9" s="458" t="s">
        <v>261</v>
      </c>
      <c r="H9" s="458"/>
      <c r="I9" s="458"/>
      <c r="J9" s="490" t="s">
        <v>404</v>
      </c>
      <c r="K9" s="460" t="s">
        <v>414</v>
      </c>
      <c r="L9" s="461">
        <v>32850</v>
      </c>
      <c r="M9" s="456" t="s">
        <v>406</v>
      </c>
      <c r="N9" s="460"/>
      <c r="O9" s="510" t="s">
        <v>413</v>
      </c>
      <c r="P9" s="460">
        <v>0.5</v>
      </c>
      <c r="Q9" s="456" t="s">
        <v>408</v>
      </c>
    </row>
    <row r="10" spans="1:17" s="1" customFormat="1" x14ac:dyDescent="0.25">
      <c r="A10" s="510" t="s">
        <v>143</v>
      </c>
      <c r="B10" s="510" t="s">
        <v>347</v>
      </c>
      <c r="C10" s="510">
        <v>3</v>
      </c>
      <c r="D10" s="510" t="s">
        <v>377</v>
      </c>
      <c r="E10" s="511"/>
      <c r="F10" s="511" t="s">
        <v>261</v>
      </c>
      <c r="G10" s="511"/>
      <c r="H10" s="511"/>
      <c r="I10" s="511"/>
      <c r="J10" s="512" t="s">
        <v>404</v>
      </c>
      <c r="K10" s="73" t="s">
        <v>405</v>
      </c>
      <c r="L10" s="513">
        <v>25609</v>
      </c>
      <c r="M10" s="510" t="s">
        <v>406</v>
      </c>
      <c r="N10" s="510"/>
      <c r="O10" s="510" t="s">
        <v>407</v>
      </c>
      <c r="P10" s="510">
        <v>0.5</v>
      </c>
      <c r="Q10" s="510" t="s">
        <v>415</v>
      </c>
    </row>
    <row r="11" spans="1:17" s="1" customFormat="1" x14ac:dyDescent="0.25">
      <c r="A11" s="510" t="s">
        <v>143</v>
      </c>
      <c r="B11" s="510" t="s">
        <v>351</v>
      </c>
      <c r="C11" s="510">
        <v>3</v>
      </c>
      <c r="D11" s="510" t="s">
        <v>378</v>
      </c>
      <c r="E11" s="511"/>
      <c r="F11" s="511" t="s">
        <v>261</v>
      </c>
      <c r="G11" s="511"/>
      <c r="H11" s="511"/>
      <c r="I11" s="511"/>
      <c r="J11" s="512" t="s">
        <v>406</v>
      </c>
      <c r="K11" s="510" t="s">
        <v>405</v>
      </c>
      <c r="L11" s="513">
        <v>21676</v>
      </c>
      <c r="M11" s="510" t="s">
        <v>406</v>
      </c>
      <c r="N11" s="510" t="s">
        <v>416</v>
      </c>
      <c r="O11" s="510" t="s">
        <v>417</v>
      </c>
      <c r="P11" s="510">
        <v>0.4</v>
      </c>
      <c r="Q11" s="510" t="s">
        <v>415</v>
      </c>
    </row>
    <row r="12" spans="1:17" s="1" customFormat="1" x14ac:dyDescent="0.25">
      <c r="A12" s="510" t="s">
        <v>171</v>
      </c>
      <c r="B12" s="510" t="s">
        <v>351</v>
      </c>
      <c r="C12" s="510">
        <v>3</v>
      </c>
      <c r="D12" s="510" t="s">
        <v>377</v>
      </c>
      <c r="E12" s="511"/>
      <c r="F12" s="511" t="s">
        <v>261</v>
      </c>
      <c r="G12" s="511"/>
      <c r="H12" s="511"/>
      <c r="I12" s="511"/>
      <c r="J12" s="512" t="s">
        <v>404</v>
      </c>
      <c r="K12" s="510" t="s">
        <v>405</v>
      </c>
      <c r="L12" s="514">
        <v>19524</v>
      </c>
      <c r="M12" s="510" t="s">
        <v>406</v>
      </c>
      <c r="N12" s="510"/>
      <c r="O12" s="510" t="s">
        <v>411</v>
      </c>
      <c r="P12" s="510">
        <v>0.4</v>
      </c>
      <c r="Q12" s="510" t="s">
        <v>18</v>
      </c>
    </row>
    <row r="13" spans="1:17" s="1" customFormat="1" x14ac:dyDescent="0.25">
      <c r="A13" s="460"/>
      <c r="B13" s="460"/>
      <c r="C13" s="460"/>
      <c r="D13" s="460"/>
      <c r="E13" s="458"/>
      <c r="F13" s="458"/>
      <c r="G13" s="458"/>
      <c r="H13" s="458"/>
      <c r="I13" s="458"/>
      <c r="J13" s="490"/>
      <c r="K13" s="460"/>
      <c r="L13" s="462"/>
      <c r="M13" s="460"/>
      <c r="N13" s="460"/>
      <c r="O13" s="460"/>
      <c r="P13" s="460"/>
      <c r="Q13" s="460"/>
    </row>
    <row r="14" spans="1:17" s="1" customFormat="1" x14ac:dyDescent="0.25">
      <c r="A14" s="460"/>
      <c r="B14" s="460"/>
      <c r="C14" s="460"/>
      <c r="D14" s="460"/>
      <c r="E14" s="458"/>
      <c r="F14" s="458"/>
      <c r="G14" s="458"/>
      <c r="H14" s="458"/>
      <c r="I14" s="458"/>
      <c r="J14" s="490"/>
      <c r="K14" s="460"/>
      <c r="L14" s="462"/>
      <c r="M14" s="460"/>
      <c r="N14" s="460"/>
      <c r="O14" s="460"/>
      <c r="P14" s="460"/>
      <c r="Q14" s="460"/>
    </row>
    <row r="15" spans="1:17" s="1" customFormat="1" x14ac:dyDescent="0.25">
      <c r="A15" s="460"/>
      <c r="B15" s="460"/>
      <c r="C15" s="460"/>
      <c r="D15" s="460"/>
      <c r="E15" s="458"/>
      <c r="F15" s="458"/>
      <c r="G15" s="458"/>
      <c r="H15" s="458"/>
      <c r="I15" s="458"/>
      <c r="J15" s="490"/>
      <c r="K15" s="460"/>
      <c r="L15" s="462"/>
      <c r="M15" s="460"/>
      <c r="N15" s="460"/>
      <c r="O15" s="460"/>
      <c r="P15" s="460"/>
      <c r="Q15" s="460"/>
    </row>
    <row r="16" spans="1:17" s="1" customFormat="1" x14ac:dyDescent="0.25">
      <c r="A16" s="460"/>
      <c r="B16" s="460"/>
      <c r="C16" s="460"/>
      <c r="D16" s="460"/>
      <c r="E16" s="458"/>
      <c r="F16" s="458"/>
      <c r="G16" s="458"/>
      <c r="H16" s="458"/>
      <c r="I16" s="458"/>
      <c r="J16" s="490"/>
      <c r="K16" s="460"/>
      <c r="L16" s="462"/>
      <c r="M16" s="460"/>
      <c r="N16" s="460"/>
      <c r="O16" s="460"/>
      <c r="P16" s="460"/>
      <c r="Q16" s="460"/>
    </row>
    <row r="17" spans="1:17" s="1" customFormat="1" x14ac:dyDescent="0.25">
      <c r="A17" s="460"/>
      <c r="B17" s="460"/>
      <c r="C17" s="460"/>
      <c r="D17" s="460"/>
      <c r="E17" s="458"/>
      <c r="F17" s="458"/>
      <c r="G17" s="458"/>
      <c r="H17" s="458"/>
      <c r="I17" s="458"/>
      <c r="J17" s="490"/>
      <c r="K17" s="460"/>
      <c r="L17" s="462"/>
      <c r="M17" s="460"/>
      <c r="N17" s="460"/>
      <c r="O17" s="460"/>
      <c r="P17" s="460"/>
      <c r="Q17" s="460"/>
    </row>
    <row r="18" spans="1:17" s="1" customFormat="1" x14ac:dyDescent="0.25">
      <c r="A18" s="460"/>
      <c r="B18" s="460"/>
      <c r="C18" s="460"/>
      <c r="D18" s="460"/>
      <c r="E18" s="458"/>
      <c r="F18" s="458"/>
      <c r="G18" s="458"/>
      <c r="H18" s="458"/>
      <c r="I18" s="458"/>
      <c r="J18" s="490"/>
      <c r="K18" s="460"/>
      <c r="L18" s="462"/>
      <c r="M18" s="460"/>
      <c r="N18" s="460"/>
      <c r="O18" s="460"/>
      <c r="P18" s="460"/>
      <c r="Q18" s="460"/>
    </row>
    <row r="19" spans="1:17" s="1" customFormat="1" x14ac:dyDescent="0.25">
      <c r="A19" s="460"/>
      <c r="B19" s="460"/>
      <c r="C19" s="460"/>
      <c r="D19" s="460"/>
      <c r="E19" s="458"/>
      <c r="F19" s="458"/>
      <c r="G19" s="458"/>
      <c r="H19" s="458"/>
      <c r="I19" s="458"/>
      <c r="J19" s="490"/>
      <c r="K19" s="460"/>
      <c r="L19" s="462"/>
      <c r="M19" s="460"/>
      <c r="N19" s="460"/>
      <c r="O19" s="460"/>
      <c r="P19" s="460"/>
      <c r="Q19" s="460"/>
    </row>
    <row r="20" spans="1:17" s="1" customFormat="1" x14ac:dyDescent="0.25">
      <c r="A20" s="460"/>
      <c r="B20" s="460"/>
      <c r="C20" s="460"/>
      <c r="D20" s="460"/>
      <c r="E20" s="458"/>
      <c r="F20" s="458"/>
      <c r="G20" s="458"/>
      <c r="H20" s="458"/>
      <c r="I20" s="458"/>
      <c r="J20" s="490"/>
      <c r="K20" s="460"/>
      <c r="L20" s="462"/>
      <c r="M20" s="460"/>
      <c r="N20" s="460"/>
      <c r="O20" s="460"/>
      <c r="P20" s="460"/>
      <c r="Q20" s="460"/>
    </row>
    <row r="21" spans="1:17" s="1" customFormat="1" x14ac:dyDescent="0.25">
      <c r="A21" s="460"/>
      <c r="B21" s="460"/>
      <c r="C21" s="460"/>
      <c r="D21" s="460"/>
      <c r="E21" s="458"/>
      <c r="F21" s="458"/>
      <c r="G21" s="458"/>
      <c r="H21" s="458"/>
      <c r="I21" s="458"/>
      <c r="J21" s="490"/>
      <c r="K21" s="460"/>
      <c r="L21" s="462"/>
      <c r="M21" s="460"/>
      <c r="N21" s="460"/>
      <c r="O21" s="460"/>
      <c r="P21" s="460"/>
      <c r="Q21" s="460"/>
    </row>
    <row r="22" spans="1:17" s="1" customFormat="1" x14ac:dyDescent="0.25">
      <c r="A22" s="460"/>
      <c r="B22" s="460"/>
      <c r="C22" s="460"/>
      <c r="D22" s="460"/>
      <c r="E22" s="458"/>
      <c r="F22" s="458"/>
      <c r="G22" s="458"/>
      <c r="H22" s="458"/>
      <c r="I22" s="458"/>
      <c r="J22" s="490"/>
      <c r="K22" s="460"/>
      <c r="L22" s="462"/>
      <c r="M22" s="460"/>
      <c r="N22" s="460"/>
      <c r="O22" s="460"/>
      <c r="P22" s="460"/>
      <c r="Q22" s="460"/>
    </row>
    <row r="23" spans="1:17" s="1" customFormat="1" x14ac:dyDescent="0.25">
      <c r="A23" s="460"/>
      <c r="B23" s="460"/>
      <c r="C23" s="460"/>
      <c r="D23" s="460"/>
      <c r="E23" s="458"/>
      <c r="F23" s="458"/>
      <c r="G23" s="458"/>
      <c r="H23" s="458"/>
      <c r="I23" s="458"/>
      <c r="J23" s="490"/>
      <c r="K23" s="460"/>
      <c r="L23" s="462">
        <v>187400</v>
      </c>
      <c r="M23" s="460"/>
      <c r="N23" s="460"/>
      <c r="O23" s="460"/>
      <c r="P23" s="460">
        <f>SUM(P4:P19)</f>
        <v>4.5000000000000009</v>
      </c>
      <c r="Q23" s="460"/>
    </row>
    <row r="24" spans="1:17" s="1" customFormat="1" x14ac:dyDescent="0.25"/>
    <row r="26" spans="1:17" x14ac:dyDescent="0.25">
      <c r="B26" s="463" t="s">
        <v>343</v>
      </c>
      <c r="C26">
        <v>1</v>
      </c>
      <c r="D26" t="s">
        <v>344</v>
      </c>
    </row>
    <row r="27" spans="1:17" x14ac:dyDescent="0.25">
      <c r="B27" s="463" t="s">
        <v>345</v>
      </c>
      <c r="C27">
        <v>2</v>
      </c>
      <c r="D27" t="s">
        <v>346</v>
      </c>
    </row>
    <row r="28" spans="1:17" x14ac:dyDescent="0.25">
      <c r="B28" s="463" t="s">
        <v>347</v>
      </c>
      <c r="C28">
        <v>3</v>
      </c>
      <c r="D28" t="s">
        <v>348</v>
      </c>
    </row>
    <row r="29" spans="1:17" x14ac:dyDescent="0.25">
      <c r="B29" s="463" t="s">
        <v>349</v>
      </c>
      <c r="C29">
        <v>4</v>
      </c>
      <c r="D29" t="s">
        <v>350</v>
      </c>
    </row>
    <row r="30" spans="1:17" x14ac:dyDescent="0.25">
      <c r="B30" s="463" t="s">
        <v>351</v>
      </c>
      <c r="D30" t="s">
        <v>352</v>
      </c>
    </row>
    <row r="31" spans="1:17" x14ac:dyDescent="0.25">
      <c r="B31" s="463" t="s">
        <v>353</v>
      </c>
      <c r="D31" t="s">
        <v>354</v>
      </c>
    </row>
    <row r="32" spans="1:17" x14ac:dyDescent="0.25">
      <c r="B32" s="463" t="s">
        <v>355</v>
      </c>
      <c r="D32" t="s">
        <v>356</v>
      </c>
    </row>
    <row r="33" spans="2:4" x14ac:dyDescent="0.25">
      <c r="B33" s="463" t="s">
        <v>357</v>
      </c>
      <c r="D33" t="s">
        <v>358</v>
      </c>
    </row>
    <row r="34" spans="2:4" x14ac:dyDescent="0.25">
      <c r="B34" s="463" t="s">
        <v>359</v>
      </c>
      <c r="D34" t="s">
        <v>360</v>
      </c>
    </row>
    <row r="35" spans="2:4" x14ac:dyDescent="0.25">
      <c r="B35" s="463" t="s">
        <v>361</v>
      </c>
      <c r="D35" t="s">
        <v>362</v>
      </c>
    </row>
    <row r="36" spans="2:4" x14ac:dyDescent="0.25">
      <c r="B36" s="463" t="s">
        <v>363</v>
      </c>
      <c r="D36" t="s">
        <v>364</v>
      </c>
    </row>
    <row r="37" spans="2:4" x14ac:dyDescent="0.25">
      <c r="B37" s="19"/>
      <c r="D37" t="s">
        <v>365</v>
      </c>
    </row>
    <row r="38" spans="2:4" x14ac:dyDescent="0.25">
      <c r="B38" s="19"/>
      <c r="D38" t="s">
        <v>366</v>
      </c>
    </row>
    <row r="39" spans="2:4" x14ac:dyDescent="0.25">
      <c r="D39" t="s">
        <v>367</v>
      </c>
    </row>
    <row r="40" spans="2:4" x14ac:dyDescent="0.25">
      <c r="D40" t="s">
        <v>368</v>
      </c>
    </row>
    <row r="41" spans="2:4" x14ac:dyDescent="0.25">
      <c r="D41" t="s">
        <v>369</v>
      </c>
    </row>
    <row r="42" spans="2:4" x14ac:dyDescent="0.25">
      <c r="D42" t="s">
        <v>370</v>
      </c>
    </row>
    <row r="43" spans="2:4" x14ac:dyDescent="0.25">
      <c r="D43" t="s">
        <v>371</v>
      </c>
    </row>
    <row r="44" spans="2:4" x14ac:dyDescent="0.25">
      <c r="D44" t="s">
        <v>372</v>
      </c>
    </row>
    <row r="45" spans="2:4" x14ac:dyDescent="0.25">
      <c r="D45" t="s">
        <v>373</v>
      </c>
    </row>
    <row r="46" spans="2:4" x14ac:dyDescent="0.25">
      <c r="D46" t="s">
        <v>374</v>
      </c>
    </row>
    <row r="47" spans="2:4" x14ac:dyDescent="0.25">
      <c r="D47" t="s">
        <v>375</v>
      </c>
    </row>
    <row r="48" spans="2:4" x14ac:dyDescent="0.25">
      <c r="D48" t="s">
        <v>376</v>
      </c>
    </row>
    <row r="49" spans="4:4" x14ac:dyDescent="0.25">
      <c r="D49" t="s">
        <v>377</v>
      </c>
    </row>
    <row r="50" spans="4:4" x14ac:dyDescent="0.25">
      <c r="D50" t="s">
        <v>378</v>
      </c>
    </row>
  </sheetData>
  <mergeCells count="14">
    <mergeCell ref="Q2:Q3"/>
    <mergeCell ref="E1:I1"/>
    <mergeCell ref="A2:A3"/>
    <mergeCell ref="B2:B3"/>
    <mergeCell ref="C2:C3"/>
    <mergeCell ref="D2:D3"/>
    <mergeCell ref="E2:I2"/>
    <mergeCell ref="P2:P3"/>
    <mergeCell ref="J2:J3"/>
    <mergeCell ref="K2:K3"/>
    <mergeCell ref="L2:L3"/>
    <mergeCell ref="M2:M3"/>
    <mergeCell ref="N2:N3"/>
    <mergeCell ref="O2:O3"/>
  </mergeCells>
  <dataValidations count="4">
    <dataValidation type="list" allowBlank="1" showInputMessage="1" showErrorMessage="1" sqref="D4:D23" xr:uid="{ADF451BE-7CB6-4CF1-8CBF-1E72457E9FE0}">
      <formula1>$D$26:$D$50</formula1>
    </dataValidation>
    <dataValidation type="list" allowBlank="1" showInputMessage="1" showErrorMessage="1" sqref="B4:B23" xr:uid="{3F8E932E-A681-407E-AFF1-3D04EC6A2893}">
      <formula1>$B$26:$B$36</formula1>
    </dataValidation>
    <dataValidation type="list" allowBlank="1" showInputMessage="1" showErrorMessage="1" sqref="C4:C23" xr:uid="{112B0C32-43DC-4B88-B816-504B3E74FD03}">
      <formula1>$C$26:$C$29</formula1>
    </dataValidation>
    <dataValidation allowBlank="1" showInputMessage="1" showErrorMessage="1" sqref="O4:O23 M4:M23 K4:K23" xr:uid="{17392696-02F4-476D-8DA6-5D44D2B404EA}"/>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7919694-6f7e-4008-b8d9-56ebe66c43d7">
      <Terms xmlns="http://schemas.microsoft.com/office/infopath/2007/PartnerControls"/>
    </lcf76f155ced4ddcb4097134ff3c332f>
    <TaxCatchAll xmlns="9b483750-598d-46a0-877d-052f8f804d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F7EF1C1C062143BFFF71E2625A0116" ma:contentTypeVersion="21" ma:contentTypeDescription="Create a new document." ma:contentTypeScope="" ma:versionID="e63d8523aa913cb9fd66e2b79faccd4a">
  <xsd:schema xmlns:xsd="http://www.w3.org/2001/XMLSchema" xmlns:xs="http://www.w3.org/2001/XMLSchema" xmlns:p="http://schemas.microsoft.com/office/2006/metadata/properties" xmlns:ns2="b7919694-6f7e-4008-b8d9-56ebe66c43d7" xmlns:ns3="9b483750-598d-46a0-877d-052f8f804d23" targetNamespace="http://schemas.microsoft.com/office/2006/metadata/properties" ma:root="true" ma:fieldsID="97ac55c0f247301b3a04f17b5a3670cb" ns2:_="" ns3:_="">
    <xsd:import namespace="b7919694-6f7e-4008-b8d9-56ebe66c43d7"/>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19694-6f7e-4008-b8d9-56ebe66c43d7"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ObjectDetectorVersions" ma:index="6" nillable="true" ma:displayName="MediaServiceObjectDetectorVersions" ma:hidden="true" ma:indexed="true" ma:internalName="MediaServiceObjectDetectorVersions" ma:readOnly="true">
      <xsd:simpleType>
        <xsd:restriction base="dms:Text"/>
      </xsd:simpleType>
    </xsd:element>
    <xsd:element name="MediaServiceSearchProperties" ma:index="7" nillable="true" ma:displayName="MediaServiceSearchProperties" ma:hidden="true" ma:internalName="MediaServiceSearchProperties" ma:readOnly="true">
      <xsd:simpleType>
        <xsd:restriction base="dms:Note"/>
      </xsd:simpleType>
    </xsd:element>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6b22ef0-6631-4e3d-8660-4ec86ac9ea1c}"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5DC840-CA6B-439F-916F-55162E8719A7}">
  <ds:schemaRefs>
    <ds:schemaRef ds:uri="http://schemas.microsoft.com/sharepoint/v3/contenttype/forms"/>
  </ds:schemaRefs>
</ds:datastoreItem>
</file>

<file path=customXml/itemProps2.xml><?xml version="1.0" encoding="utf-8"?>
<ds:datastoreItem xmlns:ds="http://schemas.openxmlformats.org/officeDocument/2006/customXml" ds:itemID="{3387033A-3F22-4301-BC4B-B1C7D3123093}">
  <ds:schemaRefs>
    <ds:schemaRef ds:uri="http://purl.org/dc/terms/"/>
    <ds:schemaRef ds:uri="http://purl.org/dc/elements/1.1/"/>
    <ds:schemaRef ds:uri="http://schemas.openxmlformats.org/package/2006/metadata/core-properties"/>
    <ds:schemaRef ds:uri="http://purl.org/dc/dcmitype/"/>
    <ds:schemaRef ds:uri="9b483750-598d-46a0-877d-052f8f804d23"/>
    <ds:schemaRef ds:uri="http://schemas.microsoft.com/office/2006/documentManagement/types"/>
    <ds:schemaRef ds:uri="b7919694-6f7e-4008-b8d9-56ebe66c43d7"/>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5C3D7357-C693-4154-BBB1-ACA86A213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919694-6f7e-4008-b8d9-56ebe66c43d7"/>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6</vt:i4>
      </vt:variant>
      <vt:variant>
        <vt:lpstr>Nimega vahemikud</vt:lpstr>
      </vt:variant>
      <vt:variant>
        <vt:i4>1</vt:i4>
      </vt:variant>
    </vt:vector>
  </HeadingPairs>
  <TitlesOfParts>
    <vt:vector size="7" baseType="lpstr">
      <vt:lpstr>kuni 2025 detsember tegevuskava</vt:lpstr>
      <vt:lpstr>Seirearuanne</vt:lpstr>
      <vt:lpstr>KK_lisa</vt:lpstr>
      <vt:lpstr>Tegevuskava</vt:lpstr>
      <vt:lpstr>Ettekande arvutused</vt:lpstr>
      <vt:lpstr>Personal</vt:lpstr>
      <vt:lpstr>Tegevuskava!Prindiala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Liilia Kristal</dc:creator>
  <cp:keywords/>
  <dc:description/>
  <cp:lastModifiedBy>Margo Keerme - MKM</cp:lastModifiedBy>
  <cp:revision/>
  <cp:lastPrinted>2024-10-11T13:05:57Z</cp:lastPrinted>
  <dcterms:created xsi:type="dcterms:W3CDTF">2020-07-01T09:13:12Z</dcterms:created>
  <dcterms:modified xsi:type="dcterms:W3CDTF">2024-10-11T13:26:31Z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0x010100CFF7EF1C1C062143BFFF71E2625A0116</vt:lpwstr>
  </property>
  <property fmtid="{D5CDD505-2E9C-101B-9397-08002B2CF9AE}" pid="3" name="_dlc_DocIdItemGuid">
    <vt:lpwstr>3d82843b-2587-4efb-bd50-5d6f5c6dcffa</vt:lpwstr>
  </property>
  <property fmtid="{D5CDD505-2E9C-101B-9397-08002B2CF9AE}" pid="4" name="MediaServiceImageTags">
    <vt:lpwstr/>
  </property>
  <property fmtid="{D5CDD505-2E9C-101B-9397-08002B2CF9AE}" pid="5" name="MSIP_Label_defa4170-0d19-0005-0004-bc88714345d2_Enabled">
    <vt:lpwstr>true</vt:lpwstr>
  </property>
  <property fmtid="{D5CDD505-2E9C-101B-9397-08002B2CF9AE}" pid="6" name="MSIP_Label_defa4170-0d19-0005-0004-bc88714345d2_SetDate">
    <vt:lpwstr>2024-07-10T06:57:39Z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8fe098d2-428d-4bd4-9803-7195fe96f0e2</vt:lpwstr>
  </property>
  <property fmtid="{D5CDD505-2E9C-101B-9397-08002B2CF9AE}" pid="10" name="MSIP_Label_defa4170-0d19-0005-0004-bc88714345d2_ActionId">
    <vt:lpwstr>0d36f972-5b11-44c5-8d14-901f10c4b898</vt:lpwstr>
  </property>
  <property fmtid="{D5CDD505-2E9C-101B-9397-08002B2CF9AE}" pid="11" name="MSIP_Label_defa4170-0d19-0005-0004-bc88714345d2_ContentBits">
    <vt:lpwstr>0</vt:lpwstr>
  </property>
</Properties>
</file>